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59456a41f9a331/"/>
    </mc:Choice>
  </mc:AlternateContent>
  <xr:revisionPtr revIDLastSave="0" documentId="14_{87679990-5EFB-42A8-B943-25B50494AB8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3 EQUIPES " sheetId="5" r:id="rId1"/>
    <sheet name="4 EQUIPES  " sheetId="6" r:id="rId2"/>
    <sheet name="5 EQUIPES" sheetId="3" r:id="rId3"/>
    <sheet name="Minimas" sheetId="4" state="hidden" r:id="rId4"/>
  </sheets>
  <definedNames>
    <definedName name="SENIORS_Min">Minimas!$C$38</definedName>
    <definedName name="U10_Max">Minimas!$D$33</definedName>
    <definedName name="U13_Max">Minimas!$D$34</definedName>
    <definedName name="U13_Min">Minimas!$C$34</definedName>
    <definedName name="U15_Max">Minimas!$D$35</definedName>
    <definedName name="U15_Min">Minimas!$C$35</definedName>
    <definedName name="U17_Max">Minimas!$D$36</definedName>
    <definedName name="U17_Min">Minimas!$C$36</definedName>
    <definedName name="U20_Max">Minimas!$D$37</definedName>
    <definedName name="U20_Min">Minimas!$C$37</definedName>
    <definedName name="_xlnm.Print_Area" localSheetId="0">'3 EQUIPES '!$A$1:$W$32</definedName>
    <definedName name="_xlnm.Print_Area" localSheetId="1">'4 EQUIPES  '!$A$1:$W$37</definedName>
    <definedName name="_xlnm.Print_Area" localSheetId="2">'5 EQUIPES'!$A$1:$W$42</definedName>
  </definedNames>
  <calcPr calcId="191029"/>
</workbook>
</file>

<file path=xl/calcChain.xml><?xml version="1.0" encoding="utf-8"?>
<calcChain xmlns="http://schemas.openxmlformats.org/spreadsheetml/2006/main">
  <c r="D19" i="5" l="1"/>
  <c r="Y36" i="6"/>
  <c r="AM30" i="6"/>
  <c r="AL30" i="6"/>
  <c r="AJ30" i="6"/>
  <c r="AH30" i="6"/>
  <c r="AG30" i="6"/>
  <c r="AF30" i="6"/>
  <c r="AE30" i="6"/>
  <c r="AD30" i="6"/>
  <c r="AC30" i="6"/>
  <c r="AB30" i="6"/>
  <c r="AA30" i="6"/>
  <c r="U29" i="6"/>
  <c r="S29" i="6"/>
  <c r="AC29" i="6" s="1"/>
  <c r="R29" i="6"/>
  <c r="N29" i="6"/>
  <c r="U28" i="6"/>
  <c r="R28" i="6"/>
  <c r="N28" i="6"/>
  <c r="S28" i="6" s="1"/>
  <c r="U27" i="6"/>
  <c r="R27" i="6"/>
  <c r="N27" i="6"/>
  <c r="S27" i="6" s="1"/>
  <c r="U26" i="6"/>
  <c r="R26" i="6"/>
  <c r="N26" i="6"/>
  <c r="S26" i="6" s="1"/>
  <c r="U25" i="6"/>
  <c r="R25" i="6"/>
  <c r="N25" i="6"/>
  <c r="S25" i="6" s="1"/>
  <c r="AM24" i="6"/>
  <c r="AJ24" i="6"/>
  <c r="AL24" i="6" s="1"/>
  <c r="AH24" i="6"/>
  <c r="AG24" i="6"/>
  <c r="AF24" i="6"/>
  <c r="AE24" i="6"/>
  <c r="AD24" i="6"/>
  <c r="AC24" i="6"/>
  <c r="AB24" i="6"/>
  <c r="AA24" i="6"/>
  <c r="U23" i="6"/>
  <c r="R23" i="6"/>
  <c r="S23" i="6" s="1"/>
  <c r="N23" i="6"/>
  <c r="U22" i="6"/>
  <c r="R22" i="6"/>
  <c r="N22" i="6"/>
  <c r="S22" i="6" s="1"/>
  <c r="U21" i="6"/>
  <c r="R21" i="6"/>
  <c r="S21" i="6" s="1"/>
  <c r="N21" i="6"/>
  <c r="U20" i="6"/>
  <c r="S20" i="6"/>
  <c r="AC20" i="6" s="1"/>
  <c r="R20" i="6"/>
  <c r="N20" i="6"/>
  <c r="U19" i="6"/>
  <c r="R19" i="6"/>
  <c r="N19" i="6"/>
  <c r="S19" i="6" s="1"/>
  <c r="AM18" i="6"/>
  <c r="AL18" i="6"/>
  <c r="AJ18" i="6"/>
  <c r="AH18" i="6"/>
  <c r="AG18" i="6"/>
  <c r="AF18" i="6"/>
  <c r="AE18" i="6"/>
  <c r="AD18" i="6"/>
  <c r="AC18" i="6"/>
  <c r="AB18" i="6"/>
  <c r="AA18" i="6"/>
  <c r="U17" i="6"/>
  <c r="R17" i="6"/>
  <c r="N17" i="6"/>
  <c r="S17" i="6" s="1"/>
  <c r="U16" i="6"/>
  <c r="S16" i="6"/>
  <c r="AC16" i="6" s="1"/>
  <c r="R16" i="6"/>
  <c r="N16" i="6"/>
  <c r="U15" i="6"/>
  <c r="R15" i="6"/>
  <c r="N15" i="6"/>
  <c r="S15" i="6" s="1"/>
  <c r="U14" i="6"/>
  <c r="R14" i="6"/>
  <c r="N14" i="6"/>
  <c r="S14" i="6" s="1"/>
  <c r="U13" i="6"/>
  <c r="R13" i="6"/>
  <c r="N13" i="6"/>
  <c r="S13" i="6" s="1"/>
  <c r="AM12" i="6"/>
  <c r="AJ12" i="6"/>
  <c r="AL12" i="6" s="1"/>
  <c r="AH12" i="6"/>
  <c r="AG12" i="6"/>
  <c r="AF12" i="6"/>
  <c r="AE12" i="6"/>
  <c r="AD12" i="6"/>
  <c r="AC12" i="6"/>
  <c r="AB12" i="6"/>
  <c r="AA12" i="6"/>
  <c r="U11" i="6"/>
  <c r="R11" i="6"/>
  <c r="N11" i="6"/>
  <c r="S11" i="6" s="1"/>
  <c r="U10" i="6"/>
  <c r="R10" i="6"/>
  <c r="N10" i="6"/>
  <c r="S10" i="6" s="1"/>
  <c r="U9" i="6"/>
  <c r="R9" i="6"/>
  <c r="N9" i="6"/>
  <c r="S9" i="6" s="1"/>
  <c r="U8" i="6"/>
  <c r="R8" i="6"/>
  <c r="N8" i="6"/>
  <c r="S8" i="6" s="1"/>
  <c r="U7" i="6"/>
  <c r="R7" i="6"/>
  <c r="S7" i="6" s="1"/>
  <c r="N7" i="6"/>
  <c r="AM25" i="5"/>
  <c r="AJ25" i="5"/>
  <c r="AL25" i="5" s="1"/>
  <c r="AH25" i="5"/>
  <c r="AG25" i="5"/>
  <c r="AF25" i="5"/>
  <c r="AE25" i="5"/>
  <c r="AD25" i="5"/>
  <c r="AC25" i="5"/>
  <c r="AB25" i="5"/>
  <c r="AA25" i="5"/>
  <c r="AM24" i="5"/>
  <c r="AJ24" i="5"/>
  <c r="AL24" i="5" s="1"/>
  <c r="AH24" i="5"/>
  <c r="AG24" i="5"/>
  <c r="AF24" i="5"/>
  <c r="AE24" i="5"/>
  <c r="AD24" i="5"/>
  <c r="AC24" i="5"/>
  <c r="AB24" i="5"/>
  <c r="AA24" i="5"/>
  <c r="U23" i="5"/>
  <c r="R23" i="5"/>
  <c r="N23" i="5"/>
  <c r="S23" i="5" s="1"/>
  <c r="U22" i="5"/>
  <c r="R22" i="5"/>
  <c r="N22" i="5"/>
  <c r="S22" i="5" s="1"/>
  <c r="U21" i="5"/>
  <c r="R21" i="5"/>
  <c r="N21" i="5"/>
  <c r="S21" i="5" s="1"/>
  <c r="U20" i="5"/>
  <c r="R20" i="5"/>
  <c r="N20" i="5"/>
  <c r="U19" i="5"/>
  <c r="R19" i="5"/>
  <c r="N19" i="5"/>
  <c r="AM18" i="5"/>
  <c r="AJ18" i="5"/>
  <c r="AL18" i="5" s="1"/>
  <c r="AH18" i="5"/>
  <c r="AG18" i="5"/>
  <c r="AF18" i="5"/>
  <c r="AE18" i="5"/>
  <c r="AD18" i="5"/>
  <c r="AC18" i="5"/>
  <c r="AB18" i="5"/>
  <c r="AA18" i="5"/>
  <c r="U17" i="5"/>
  <c r="R17" i="5"/>
  <c r="N17" i="5"/>
  <c r="U16" i="5"/>
  <c r="R16" i="5"/>
  <c r="N16" i="5"/>
  <c r="U15" i="5"/>
  <c r="R15" i="5"/>
  <c r="N15" i="5"/>
  <c r="S15" i="5" s="1"/>
  <c r="U14" i="5"/>
  <c r="R14" i="5"/>
  <c r="N14" i="5"/>
  <c r="S14" i="5" s="1"/>
  <c r="AG14" i="5" s="1"/>
  <c r="U13" i="5"/>
  <c r="R13" i="5"/>
  <c r="N13" i="5"/>
  <c r="S13" i="5" s="1"/>
  <c r="AM12" i="5"/>
  <c r="AJ12" i="5"/>
  <c r="AL12" i="5" s="1"/>
  <c r="AH12" i="5"/>
  <c r="AG12" i="5"/>
  <c r="AF12" i="5"/>
  <c r="AE12" i="5"/>
  <c r="AD12" i="5"/>
  <c r="AC12" i="5"/>
  <c r="AB12" i="5"/>
  <c r="AA12" i="5"/>
  <c r="U11" i="5"/>
  <c r="R11" i="5"/>
  <c r="N11" i="5"/>
  <c r="U10" i="5"/>
  <c r="R10" i="5"/>
  <c r="N10" i="5"/>
  <c r="S10" i="5" s="1"/>
  <c r="U9" i="5"/>
  <c r="R9" i="5"/>
  <c r="N9" i="5"/>
  <c r="S9" i="5" s="1"/>
  <c r="U8" i="5"/>
  <c r="R8" i="5"/>
  <c r="N8" i="5"/>
  <c r="U7" i="5"/>
  <c r="R7" i="5"/>
  <c r="N7" i="5"/>
  <c r="S7" i="5" s="1"/>
  <c r="AC7" i="5" s="1"/>
  <c r="AM30" i="3"/>
  <c r="AL30" i="3"/>
  <c r="AJ30" i="3"/>
  <c r="AH30" i="3"/>
  <c r="AG30" i="3"/>
  <c r="AF30" i="3"/>
  <c r="AE30" i="3"/>
  <c r="AD30" i="3"/>
  <c r="AC30" i="3"/>
  <c r="AB30" i="3"/>
  <c r="AA30" i="3"/>
  <c r="AM24" i="3"/>
  <c r="AL24" i="3"/>
  <c r="AJ24" i="3"/>
  <c r="AH24" i="3"/>
  <c r="AG24" i="3"/>
  <c r="AF24" i="3"/>
  <c r="AE24" i="3"/>
  <c r="AD24" i="3"/>
  <c r="AC24" i="3"/>
  <c r="AB24" i="3"/>
  <c r="AA24" i="3"/>
  <c r="AM18" i="3"/>
  <c r="AL18" i="3"/>
  <c r="AJ18" i="3"/>
  <c r="AH18" i="3"/>
  <c r="AG18" i="3"/>
  <c r="AF18" i="3"/>
  <c r="AE18" i="3"/>
  <c r="AD18" i="3"/>
  <c r="AC18" i="3"/>
  <c r="AB18" i="3"/>
  <c r="AA18" i="3"/>
  <c r="AM12" i="3"/>
  <c r="AL12" i="3"/>
  <c r="AJ12" i="3"/>
  <c r="AH12" i="3"/>
  <c r="AG12" i="3"/>
  <c r="AF12" i="3"/>
  <c r="AE12" i="3"/>
  <c r="AD12" i="3"/>
  <c r="AC12" i="3"/>
  <c r="AB12" i="3"/>
  <c r="AA12" i="3"/>
  <c r="V7" i="3"/>
  <c r="Y42" i="3"/>
  <c r="Y41" i="3"/>
  <c r="Y39" i="3"/>
  <c r="Y38" i="3"/>
  <c r="U13" i="3"/>
  <c r="AH13" i="3" s="1"/>
  <c r="AA14" i="5" l="1"/>
  <c r="S8" i="5"/>
  <c r="AA10" i="5"/>
  <c r="S11" i="5"/>
  <c r="S16" i="5"/>
  <c r="S19" i="5"/>
  <c r="AA19" i="5" s="1"/>
  <c r="AA8" i="6"/>
  <c r="AH8" i="6"/>
  <c r="V8" i="6"/>
  <c r="AG8" i="6"/>
  <c r="AF8" i="6"/>
  <c r="AE8" i="6"/>
  <c r="AD8" i="6"/>
  <c r="AB8" i="6"/>
  <c r="AC8" i="6"/>
  <c r="AD11" i="6"/>
  <c r="AC11" i="6"/>
  <c r="AB11" i="6"/>
  <c r="AA11" i="6"/>
  <c r="AH11" i="6"/>
  <c r="V11" i="6"/>
  <c r="AF11" i="6"/>
  <c r="AG11" i="6"/>
  <c r="AE11" i="6"/>
  <c r="AB21" i="6"/>
  <c r="AA21" i="6"/>
  <c r="AH21" i="6"/>
  <c r="V21" i="6"/>
  <c r="AD21" i="6"/>
  <c r="AG21" i="6"/>
  <c r="AF21" i="6"/>
  <c r="AE21" i="6"/>
  <c r="AC21" i="6"/>
  <c r="AB7" i="6"/>
  <c r="AA7" i="6"/>
  <c r="AH7" i="6"/>
  <c r="V7" i="6"/>
  <c r="AG7" i="6"/>
  <c r="AF7" i="6"/>
  <c r="AE7" i="6"/>
  <c r="AC7" i="6"/>
  <c r="AD7" i="6"/>
  <c r="AF10" i="6"/>
  <c r="AE10" i="6"/>
  <c r="AD10" i="6"/>
  <c r="AC10" i="6"/>
  <c r="V10" i="6"/>
  <c r="AB10" i="6"/>
  <c r="AH10" i="6"/>
  <c r="AA10" i="6"/>
  <c r="AG10" i="6"/>
  <c r="AG13" i="6"/>
  <c r="AF13" i="6"/>
  <c r="AE13" i="6"/>
  <c r="AD13" i="6"/>
  <c r="AC13" i="6"/>
  <c r="AB13" i="6"/>
  <c r="AA13" i="6"/>
  <c r="AH13" i="6"/>
  <c r="V13" i="6"/>
  <c r="AF23" i="6"/>
  <c r="AE23" i="6"/>
  <c r="AH23" i="6"/>
  <c r="AD23" i="6"/>
  <c r="AC23" i="6"/>
  <c r="V23" i="6"/>
  <c r="AB23" i="6"/>
  <c r="AA23" i="6"/>
  <c r="AG23" i="6"/>
  <c r="AD19" i="6"/>
  <c r="AF19" i="6"/>
  <c r="AC19" i="6"/>
  <c r="AB19" i="6"/>
  <c r="AA19" i="6"/>
  <c r="AH19" i="6"/>
  <c r="V19" i="6"/>
  <c r="AG19" i="6"/>
  <c r="AE19" i="6"/>
  <c r="AG27" i="6"/>
  <c r="AF27" i="6"/>
  <c r="AE27" i="6"/>
  <c r="AD27" i="6"/>
  <c r="AC27" i="6"/>
  <c r="AA27" i="6"/>
  <c r="AB27" i="6"/>
  <c r="AH27" i="6"/>
  <c r="V27" i="6"/>
  <c r="AH9" i="6"/>
  <c r="V9" i="6"/>
  <c r="AG9" i="6"/>
  <c r="AF9" i="6"/>
  <c r="AE9" i="6"/>
  <c r="AD9" i="6"/>
  <c r="AB9" i="6"/>
  <c r="AC9" i="6"/>
  <c r="AA9" i="6"/>
  <c r="AA17" i="6"/>
  <c r="AH17" i="6"/>
  <c r="V17" i="6"/>
  <c r="AG17" i="6"/>
  <c r="AC17" i="6"/>
  <c r="AF17" i="6"/>
  <c r="AE17" i="6"/>
  <c r="AD17" i="6"/>
  <c r="AB17" i="6"/>
  <c r="AH22" i="6"/>
  <c r="V22" i="6"/>
  <c r="AG22" i="6"/>
  <c r="AF22" i="6"/>
  <c r="AE22" i="6"/>
  <c r="AD22" i="6"/>
  <c r="AC22" i="6"/>
  <c r="AA22" i="6"/>
  <c r="AB22" i="6"/>
  <c r="AA25" i="6"/>
  <c r="AH25" i="6"/>
  <c r="V25" i="6"/>
  <c r="AG25" i="6"/>
  <c r="AF25" i="6"/>
  <c r="AE25" i="6"/>
  <c r="AD25" i="6"/>
  <c r="AB25" i="6"/>
  <c r="AC25" i="6"/>
  <c r="AF14" i="6"/>
  <c r="AE14" i="6"/>
  <c r="AD14" i="6"/>
  <c r="AC14" i="6"/>
  <c r="AB14" i="6"/>
  <c r="AH14" i="6"/>
  <c r="AA14" i="6"/>
  <c r="AG14" i="6"/>
  <c r="V14" i="6"/>
  <c r="AE15" i="6"/>
  <c r="AD15" i="6"/>
  <c r="AC15" i="6"/>
  <c r="AG15" i="6"/>
  <c r="AB15" i="6"/>
  <c r="AA15" i="6"/>
  <c r="AH15" i="6"/>
  <c r="V15" i="6"/>
  <c r="AF15" i="6"/>
  <c r="AE28" i="6"/>
  <c r="AD28" i="6"/>
  <c r="AC28" i="6"/>
  <c r="AG28" i="6"/>
  <c r="AB28" i="6"/>
  <c r="AA28" i="6"/>
  <c r="AH28" i="6"/>
  <c r="V28" i="6"/>
  <c r="AF28" i="6"/>
  <c r="AH26" i="6"/>
  <c r="V26" i="6"/>
  <c r="AB26" i="6"/>
  <c r="AG26" i="6"/>
  <c r="AF26" i="6"/>
  <c r="AE26" i="6"/>
  <c r="AD26" i="6"/>
  <c r="AC26" i="6"/>
  <c r="AA26" i="6"/>
  <c r="AC21" i="5"/>
  <c r="AD16" i="6"/>
  <c r="AD20" i="6"/>
  <c r="AD29" i="6"/>
  <c r="AF16" i="6"/>
  <c r="AF20" i="6"/>
  <c r="AF29" i="6"/>
  <c r="AE29" i="6"/>
  <c r="AG16" i="6"/>
  <c r="AG20" i="6"/>
  <c r="AG29" i="6"/>
  <c r="AG10" i="5"/>
  <c r="V16" i="6"/>
  <c r="AH16" i="6"/>
  <c r="V20" i="6"/>
  <c r="AH20" i="6"/>
  <c r="V29" i="6"/>
  <c r="AH29" i="6"/>
  <c r="AE16" i="6"/>
  <c r="AE20" i="6"/>
  <c r="AA16" i="6"/>
  <c r="AA20" i="6"/>
  <c r="AA29" i="6"/>
  <c r="AH13" i="5"/>
  <c r="AB16" i="6"/>
  <c r="AB20" i="6"/>
  <c r="AB29" i="6"/>
  <c r="AG23" i="5"/>
  <c r="AA23" i="5"/>
  <c r="S17" i="5"/>
  <c r="S20" i="5"/>
  <c r="AA20" i="5" s="1"/>
  <c r="AB13" i="5"/>
  <c r="AF13" i="5"/>
  <c r="AA9" i="5"/>
  <c r="AH9" i="5"/>
  <c r="V9" i="5"/>
  <c r="AG9" i="5"/>
  <c r="AF9" i="5"/>
  <c r="AE9" i="5"/>
  <c r="AD9" i="5"/>
  <c r="AB9" i="5"/>
  <c r="AC9" i="5"/>
  <c r="AE11" i="5"/>
  <c r="AD11" i="5"/>
  <c r="AC11" i="5"/>
  <c r="AB11" i="5"/>
  <c r="AA11" i="5"/>
  <c r="AH11" i="5"/>
  <c r="V11" i="5"/>
  <c r="AG11" i="5"/>
  <c r="AF11" i="5"/>
  <c r="AF15" i="5"/>
  <c r="AE15" i="5"/>
  <c r="AD15" i="5"/>
  <c r="AC15" i="5"/>
  <c r="AB15" i="5"/>
  <c r="AA15" i="5"/>
  <c r="AG15" i="5"/>
  <c r="AH15" i="5"/>
  <c r="V15" i="5"/>
  <c r="AD16" i="5"/>
  <c r="AC16" i="5"/>
  <c r="AB16" i="5"/>
  <c r="AA16" i="5"/>
  <c r="AH16" i="5"/>
  <c r="V16" i="5"/>
  <c r="AG16" i="5"/>
  <c r="AE16" i="5"/>
  <c r="AF16" i="5"/>
  <c r="AA22" i="5"/>
  <c r="AH22" i="5"/>
  <c r="V22" i="5"/>
  <c r="AG22" i="5"/>
  <c r="AF22" i="5"/>
  <c r="AE22" i="5"/>
  <c r="AD22" i="5"/>
  <c r="AB22" i="5"/>
  <c r="AC22" i="5"/>
  <c r="AB17" i="5"/>
  <c r="AA17" i="5"/>
  <c r="AH17" i="5"/>
  <c r="V17" i="5"/>
  <c r="AG17" i="5"/>
  <c r="AD17" i="5"/>
  <c r="AF17" i="5"/>
  <c r="AE17" i="5"/>
  <c r="AC17" i="5"/>
  <c r="AB20" i="5"/>
  <c r="AG19" i="5"/>
  <c r="AD19" i="5"/>
  <c r="AC19" i="5"/>
  <c r="AB19" i="5"/>
  <c r="AH19" i="5"/>
  <c r="V19" i="5"/>
  <c r="AB8" i="5"/>
  <c r="AA8" i="5"/>
  <c r="AH8" i="5"/>
  <c r="V8" i="5"/>
  <c r="AG8" i="5"/>
  <c r="AF8" i="5"/>
  <c r="AE8" i="5"/>
  <c r="AC8" i="5"/>
  <c r="AD8" i="5"/>
  <c r="AE21" i="5"/>
  <c r="AD7" i="5"/>
  <c r="V10" i="5"/>
  <c r="AH10" i="5"/>
  <c r="AA13" i="5"/>
  <c r="V14" i="5"/>
  <c r="AH14" i="5"/>
  <c r="AD21" i="5"/>
  <c r="V23" i="5"/>
  <c r="AH23" i="5"/>
  <c r="AE7" i="5"/>
  <c r="AF7" i="5"/>
  <c r="AB10" i="5"/>
  <c r="AC13" i="5"/>
  <c r="AB14" i="5"/>
  <c r="AF21" i="5"/>
  <c r="AB23" i="5"/>
  <c r="AG7" i="5"/>
  <c r="AC10" i="5"/>
  <c r="AD13" i="5"/>
  <c r="AC14" i="5"/>
  <c r="AG21" i="5"/>
  <c r="AC23" i="5"/>
  <c r="V7" i="5"/>
  <c r="AH7" i="5"/>
  <c r="AD10" i="5"/>
  <c r="AE13" i="5"/>
  <c r="AD14" i="5"/>
  <c r="V21" i="5"/>
  <c r="AH21" i="5"/>
  <c r="AD23" i="5"/>
  <c r="AA7" i="5"/>
  <c r="AE10" i="5"/>
  <c r="AE14" i="5"/>
  <c r="AA21" i="5"/>
  <c r="AE23" i="5"/>
  <c r="AB7" i="5"/>
  <c r="AF10" i="5"/>
  <c r="AG13" i="5"/>
  <c r="AF14" i="5"/>
  <c r="AB21" i="5"/>
  <c r="AF23" i="5"/>
  <c r="V13" i="5"/>
  <c r="AA13" i="3"/>
  <c r="AB13" i="3"/>
  <c r="AC13" i="3"/>
  <c r="AD13" i="3"/>
  <c r="AE13" i="3"/>
  <c r="AF13" i="3"/>
  <c r="AG13" i="3"/>
  <c r="AM13" i="3" s="1"/>
  <c r="AM13" i="5" l="1"/>
  <c r="AF19" i="5"/>
  <c r="AE19" i="5"/>
  <c r="AM20" i="6"/>
  <c r="AJ20" i="6"/>
  <c r="AL20" i="6" s="1"/>
  <c r="T20" i="6" s="1"/>
  <c r="AM27" i="6"/>
  <c r="AJ27" i="6"/>
  <c r="AL27" i="6" s="1"/>
  <c r="T27" i="6" s="1"/>
  <c r="AM28" i="6"/>
  <c r="AJ28" i="6"/>
  <c r="AL28" i="6" s="1"/>
  <c r="T28" i="6" s="1"/>
  <c r="AJ25" i="6"/>
  <c r="AL25" i="6" s="1"/>
  <c r="T25" i="6" s="1"/>
  <c r="AM25" i="6"/>
  <c r="H22" i="6"/>
  <c r="H23" i="6"/>
  <c r="H16" i="6"/>
  <c r="H17" i="6"/>
  <c r="AJ7" i="6"/>
  <c r="AL7" i="6" s="1"/>
  <c r="AM7" i="6"/>
  <c r="AM11" i="6"/>
  <c r="AJ11" i="6"/>
  <c r="AL11" i="6" s="1"/>
  <c r="AM16" i="6"/>
  <c r="AJ16" i="6"/>
  <c r="AL16" i="6" s="1"/>
  <c r="T16" i="6" s="1"/>
  <c r="H29" i="6"/>
  <c r="H28" i="6"/>
  <c r="H11" i="6"/>
  <c r="H10" i="6"/>
  <c r="AM15" i="6"/>
  <c r="AJ15" i="6"/>
  <c r="AL15" i="6" s="1"/>
  <c r="AM19" i="6"/>
  <c r="AJ19" i="6"/>
  <c r="AL19" i="6" s="1"/>
  <c r="T19" i="6" s="1"/>
  <c r="AJ13" i="6"/>
  <c r="AL13" i="6" s="1"/>
  <c r="AM13" i="6"/>
  <c r="AJ21" i="6"/>
  <c r="AL21" i="6" s="1"/>
  <c r="AM21" i="6"/>
  <c r="AM22" i="6"/>
  <c r="AJ22" i="6"/>
  <c r="AL22" i="6" s="1"/>
  <c r="AJ17" i="6"/>
  <c r="AL17" i="6" s="1"/>
  <c r="AM17" i="6"/>
  <c r="AM29" i="6"/>
  <c r="AJ29" i="6"/>
  <c r="AL29" i="6" s="1"/>
  <c r="T29" i="6" s="1"/>
  <c r="AM14" i="6"/>
  <c r="AJ14" i="6"/>
  <c r="AL14" i="6" s="1"/>
  <c r="T14" i="6" s="1"/>
  <c r="AM10" i="6"/>
  <c r="AJ10" i="6"/>
  <c r="AL10" i="6" s="1"/>
  <c r="AM9" i="6"/>
  <c r="AJ9" i="6"/>
  <c r="AL9" i="6" s="1"/>
  <c r="T9" i="6" s="1"/>
  <c r="AJ8" i="6"/>
  <c r="AL8" i="6" s="1"/>
  <c r="AM8" i="6"/>
  <c r="AM26" i="6"/>
  <c r="AJ26" i="6"/>
  <c r="AL26" i="6" s="1"/>
  <c r="T26" i="6" s="1"/>
  <c r="AM23" i="6"/>
  <c r="AJ23" i="6"/>
  <c r="AL23" i="6" s="1"/>
  <c r="AC20" i="5"/>
  <c r="AF20" i="5"/>
  <c r="AE20" i="5"/>
  <c r="AD20" i="5"/>
  <c r="AG20" i="5"/>
  <c r="V20" i="5"/>
  <c r="AH20" i="5"/>
  <c r="AM11" i="5"/>
  <c r="AJ11" i="5"/>
  <c r="AL11" i="5" s="1"/>
  <c r="AM7" i="5"/>
  <c r="AJ7" i="5"/>
  <c r="AL7" i="5" s="1"/>
  <c r="T7" i="5" s="1"/>
  <c r="AM10" i="5"/>
  <c r="AJ10" i="5"/>
  <c r="AL10" i="5" s="1"/>
  <c r="H23" i="5"/>
  <c r="H22" i="5"/>
  <c r="H11" i="5"/>
  <c r="H10" i="5"/>
  <c r="AM19" i="5"/>
  <c r="AJ19" i="5"/>
  <c r="AL19" i="5" s="1"/>
  <c r="T19" i="5" s="1"/>
  <c r="AJ17" i="5"/>
  <c r="AL17" i="5" s="1"/>
  <c r="AM17" i="5"/>
  <c r="AJ23" i="5"/>
  <c r="AL23" i="5" s="1"/>
  <c r="AM23" i="5"/>
  <c r="AM21" i="5"/>
  <c r="AJ21" i="5"/>
  <c r="AL21" i="5" s="1"/>
  <c r="T21" i="5" s="1"/>
  <c r="AJ13" i="5"/>
  <c r="AL13" i="5" s="1"/>
  <c r="T13" i="5" s="1"/>
  <c r="AJ8" i="5"/>
  <c r="AL8" i="5" s="1"/>
  <c r="AM8" i="5"/>
  <c r="AJ22" i="5"/>
  <c r="AL22" i="5" s="1"/>
  <c r="AM22" i="5"/>
  <c r="AM16" i="5"/>
  <c r="AJ16" i="5"/>
  <c r="AL16" i="5" s="1"/>
  <c r="AM15" i="5"/>
  <c r="AJ15" i="5"/>
  <c r="AL15" i="5" s="1"/>
  <c r="AJ9" i="5"/>
  <c r="AL9" i="5" s="1"/>
  <c r="AM9" i="5"/>
  <c r="H17" i="5"/>
  <c r="H16" i="5"/>
  <c r="AM14" i="5"/>
  <c r="AJ14" i="5"/>
  <c r="AL14" i="5" s="1"/>
  <c r="AJ13" i="3"/>
  <c r="AL13" i="3" s="1"/>
  <c r="T9" i="5" l="1"/>
  <c r="T8" i="5"/>
  <c r="AM20" i="5"/>
  <c r="T23" i="6"/>
  <c r="T10" i="6"/>
  <c r="T22" i="6"/>
  <c r="T15" i="6"/>
  <c r="T11" i="6"/>
  <c r="Y32" i="6"/>
  <c r="D13" i="6" s="1"/>
  <c r="T10" i="5"/>
  <c r="T21" i="6"/>
  <c r="T7" i="6"/>
  <c r="Y35" i="6"/>
  <c r="T8" i="6"/>
  <c r="T13" i="6"/>
  <c r="Y33" i="6"/>
  <c r="T17" i="6"/>
  <c r="Y34" i="6"/>
  <c r="AJ20" i="5"/>
  <c r="AL20" i="5" s="1"/>
  <c r="T20" i="5" s="1"/>
  <c r="Y27" i="5"/>
  <c r="D7" i="5" s="1"/>
  <c r="Y28" i="5"/>
  <c r="T22" i="5"/>
  <c r="Y31" i="5"/>
  <c r="T17" i="5"/>
  <c r="Y29" i="5"/>
  <c r="T11" i="5"/>
  <c r="T15" i="5"/>
  <c r="T14" i="5"/>
  <c r="T16" i="5"/>
  <c r="T23" i="5"/>
  <c r="D13" i="5" l="1"/>
  <c r="D25" i="6"/>
  <c r="D7" i="6"/>
  <c r="D19" i="6"/>
  <c r="N17" i="3" l="1"/>
  <c r="N16" i="3"/>
  <c r="N15" i="3"/>
  <c r="N14" i="3"/>
  <c r="N13" i="3"/>
  <c r="U29" i="3"/>
  <c r="R29" i="3"/>
  <c r="N29" i="3"/>
  <c r="U28" i="3"/>
  <c r="R28" i="3"/>
  <c r="N28" i="3"/>
  <c r="U27" i="3"/>
  <c r="R27" i="3"/>
  <c r="N27" i="3"/>
  <c r="U26" i="3"/>
  <c r="R26" i="3"/>
  <c r="N26" i="3"/>
  <c r="U25" i="3"/>
  <c r="R25" i="3"/>
  <c r="N25" i="3"/>
  <c r="U23" i="3"/>
  <c r="R23" i="3"/>
  <c r="N23" i="3"/>
  <c r="S23" i="3" s="1"/>
  <c r="U22" i="3"/>
  <c r="R22" i="3"/>
  <c r="N22" i="3"/>
  <c r="U21" i="3"/>
  <c r="R21" i="3"/>
  <c r="N21" i="3"/>
  <c r="U20" i="3"/>
  <c r="R20" i="3"/>
  <c r="N20" i="3"/>
  <c r="U19" i="3"/>
  <c r="R19" i="3"/>
  <c r="N19" i="3"/>
  <c r="S19" i="3" s="1"/>
  <c r="AC22" i="3" l="1"/>
  <c r="AB22" i="3"/>
  <c r="AA22" i="3"/>
  <c r="AH22" i="3"/>
  <c r="AG22" i="3"/>
  <c r="AF22" i="3"/>
  <c r="AD22" i="3"/>
  <c r="AE22" i="3"/>
  <c r="AD29" i="3"/>
  <c r="AC29" i="3"/>
  <c r="AB29" i="3"/>
  <c r="AA29" i="3"/>
  <c r="AH29" i="3"/>
  <c r="AG29" i="3"/>
  <c r="AE29" i="3"/>
  <c r="AF29" i="3"/>
  <c r="AH23" i="3"/>
  <c r="AF23" i="3"/>
  <c r="AG23" i="3"/>
  <c r="AE23" i="3"/>
  <c r="AD23" i="3"/>
  <c r="AC23" i="3"/>
  <c r="AA23" i="3"/>
  <c r="AB23" i="3"/>
  <c r="AB26" i="3"/>
  <c r="AA26" i="3"/>
  <c r="AH26" i="3"/>
  <c r="AG26" i="3"/>
  <c r="AF26" i="3"/>
  <c r="AE26" i="3"/>
  <c r="AC26" i="3"/>
  <c r="AD26" i="3"/>
  <c r="AH27" i="3"/>
  <c r="AG27" i="3"/>
  <c r="AF27" i="3"/>
  <c r="AE27" i="3"/>
  <c r="AD27" i="3"/>
  <c r="AC27" i="3"/>
  <c r="AA27" i="3"/>
  <c r="AB27" i="3"/>
  <c r="AH20" i="3"/>
  <c r="AG20" i="3"/>
  <c r="AE20" i="3"/>
  <c r="AD20" i="3"/>
  <c r="AC20" i="3"/>
  <c r="AA20" i="3"/>
  <c r="AF20" i="3"/>
  <c r="AB20" i="3"/>
  <c r="AF21" i="3"/>
  <c r="AE21" i="3"/>
  <c r="AD21" i="3"/>
  <c r="AC21" i="3"/>
  <c r="AB21" i="3"/>
  <c r="AA21" i="3"/>
  <c r="AG21" i="3"/>
  <c r="AH21" i="3"/>
  <c r="AB19" i="3"/>
  <c r="AH19" i="3"/>
  <c r="AA19" i="3"/>
  <c r="AG19" i="3"/>
  <c r="AF19" i="3"/>
  <c r="AE19" i="3"/>
  <c r="AC19" i="3"/>
  <c r="AD19" i="3"/>
  <c r="AF28" i="3"/>
  <c r="AE28" i="3"/>
  <c r="AD28" i="3"/>
  <c r="AC28" i="3"/>
  <c r="AB28" i="3"/>
  <c r="AA28" i="3"/>
  <c r="AG28" i="3"/>
  <c r="AH28" i="3"/>
  <c r="AC25" i="3"/>
  <c r="AB25" i="3"/>
  <c r="AA25" i="3"/>
  <c r="AH25" i="3"/>
  <c r="AG25" i="3"/>
  <c r="AF25" i="3"/>
  <c r="AD25" i="3"/>
  <c r="AE25" i="3"/>
  <c r="S22" i="3"/>
  <c r="S20" i="3"/>
  <c r="S29" i="3"/>
  <c r="S21" i="3"/>
  <c r="S25" i="3"/>
  <c r="S27" i="3"/>
  <c r="S28" i="3"/>
  <c r="S26" i="3"/>
  <c r="V25" i="3"/>
  <c r="V29" i="3"/>
  <c r="V19" i="3"/>
  <c r="V23" i="3"/>
  <c r="V20" i="3"/>
  <c r="V22" i="3"/>
  <c r="AM21" i="3" l="1"/>
  <c r="AJ21" i="3"/>
  <c r="AL21" i="3" s="1"/>
  <c r="AM28" i="3"/>
  <c r="AJ28" i="3"/>
  <c r="AL28" i="3" s="1"/>
  <c r="AM29" i="3"/>
  <c r="AJ29" i="3"/>
  <c r="AL29" i="3" s="1"/>
  <c r="AM22" i="3"/>
  <c r="AJ22" i="3"/>
  <c r="AL22" i="3" s="1"/>
  <c r="AM26" i="3"/>
  <c r="AJ26" i="3"/>
  <c r="AL26" i="3" s="1"/>
  <c r="AM19" i="3"/>
  <c r="AJ19" i="3"/>
  <c r="AL19" i="3" s="1"/>
  <c r="T19" i="3" s="1"/>
  <c r="AJ20" i="3"/>
  <c r="AL20" i="3" s="1"/>
  <c r="AM20" i="3"/>
  <c r="AJ27" i="3"/>
  <c r="AL27" i="3" s="1"/>
  <c r="AM27" i="3"/>
  <c r="AM23" i="3"/>
  <c r="AJ23" i="3"/>
  <c r="AL23" i="3" s="1"/>
  <c r="T23" i="3" s="1"/>
  <c r="AM25" i="3"/>
  <c r="AJ25" i="3"/>
  <c r="AL25" i="3" s="1"/>
  <c r="V28" i="3"/>
  <c r="V21" i="3"/>
  <c r="V26" i="3"/>
  <c r="V27" i="3"/>
  <c r="H23" i="3"/>
  <c r="H22" i="3"/>
  <c r="T22" i="3" l="1"/>
  <c r="H29" i="3"/>
  <c r="H28" i="3"/>
  <c r="Y40" i="3" s="1"/>
  <c r="T26" i="3"/>
  <c r="T28" i="3"/>
  <c r="T20" i="3"/>
  <c r="T21" i="3"/>
  <c r="T29" i="3"/>
  <c r="T25" i="3" l="1"/>
  <c r="T27" i="3"/>
  <c r="U7" i="3"/>
  <c r="U8" i="3"/>
  <c r="U9" i="3"/>
  <c r="U10" i="3"/>
  <c r="U11" i="3"/>
  <c r="U14" i="3"/>
  <c r="U15" i="3"/>
  <c r="U16" i="3"/>
  <c r="U17" i="3"/>
  <c r="U31" i="3"/>
  <c r="U32" i="3"/>
  <c r="U33" i="3"/>
  <c r="U34" i="3"/>
  <c r="U35" i="3"/>
  <c r="AD35" i="3" l="1"/>
  <c r="AC35" i="3"/>
  <c r="AB35" i="3"/>
  <c r="AA35" i="3"/>
  <c r="AH35" i="3"/>
  <c r="AG35" i="3"/>
  <c r="AE35" i="3"/>
  <c r="AF35" i="3"/>
  <c r="AH14" i="3"/>
  <c r="AG14" i="3"/>
  <c r="AF14" i="3"/>
  <c r="AE14" i="3"/>
  <c r="AD14" i="3"/>
  <c r="AC14" i="3"/>
  <c r="AA14" i="3"/>
  <c r="AB14" i="3"/>
  <c r="AF34" i="3"/>
  <c r="AE34" i="3"/>
  <c r="AD34" i="3"/>
  <c r="AH34" i="3"/>
  <c r="AC34" i="3"/>
  <c r="AB34" i="3"/>
  <c r="AA34" i="3"/>
  <c r="AG34" i="3"/>
  <c r="AG7" i="3"/>
  <c r="AH7" i="3"/>
  <c r="AD7" i="3"/>
  <c r="AC32" i="3"/>
  <c r="AB32" i="3"/>
  <c r="AE32" i="3"/>
  <c r="AH32" i="3"/>
  <c r="AG32" i="3"/>
  <c r="AF32" i="3"/>
  <c r="AD32" i="3"/>
  <c r="AA32" i="3"/>
  <c r="AB16" i="3"/>
  <c r="AA16" i="3"/>
  <c r="AG16" i="3"/>
  <c r="AF16" i="3"/>
  <c r="AE16" i="3"/>
  <c r="AC16" i="3"/>
  <c r="AH16" i="3"/>
  <c r="AD16" i="3"/>
  <c r="AA33" i="3"/>
  <c r="AG33" i="3"/>
  <c r="AH33" i="3"/>
  <c r="AF33" i="3"/>
  <c r="AE33" i="3"/>
  <c r="AD33" i="3"/>
  <c r="AB33" i="3"/>
  <c r="AC33" i="3"/>
  <c r="AF31" i="3"/>
  <c r="AE31" i="3"/>
  <c r="AD31" i="3"/>
  <c r="AC31" i="3"/>
  <c r="AB31" i="3"/>
  <c r="AA31" i="3"/>
  <c r="AG31" i="3"/>
  <c r="AH31" i="3"/>
  <c r="AH17" i="3"/>
  <c r="AG17" i="3"/>
  <c r="AF17" i="3"/>
  <c r="AE17" i="3"/>
  <c r="AD17" i="3"/>
  <c r="AC17" i="3"/>
  <c r="AA17" i="3"/>
  <c r="AB17" i="3"/>
  <c r="AE15" i="3"/>
  <c r="AD15" i="3"/>
  <c r="AC15" i="3"/>
  <c r="AB15" i="3"/>
  <c r="AA15" i="3"/>
  <c r="AH15" i="3"/>
  <c r="AF15" i="3"/>
  <c r="AG15" i="3"/>
  <c r="AC11" i="3"/>
  <c r="AB11" i="3"/>
  <c r="AA11" i="3"/>
  <c r="AH11" i="3"/>
  <c r="AG11" i="3"/>
  <c r="AF11" i="3"/>
  <c r="AE11" i="3"/>
  <c r="AD11" i="3"/>
  <c r="AE10" i="3"/>
  <c r="AD10" i="3"/>
  <c r="AC10" i="3"/>
  <c r="AB10" i="3"/>
  <c r="AA10" i="3"/>
  <c r="AH10" i="3"/>
  <c r="AF10" i="3"/>
  <c r="AG10" i="3"/>
  <c r="AG8" i="3"/>
  <c r="AF8" i="3"/>
  <c r="AE8" i="3"/>
  <c r="AD8" i="3"/>
  <c r="AA8" i="3"/>
  <c r="AC8" i="3"/>
  <c r="AB8" i="3"/>
  <c r="AH8" i="3"/>
  <c r="R8" i="3"/>
  <c r="N8" i="3"/>
  <c r="AM32" i="3" l="1"/>
  <c r="AJ32" i="3"/>
  <c r="AL32" i="3" s="1"/>
  <c r="AJ33" i="3"/>
  <c r="AL33" i="3" s="1"/>
  <c r="AM33" i="3"/>
  <c r="AM35" i="3"/>
  <c r="AJ35" i="3"/>
  <c r="AL35" i="3" s="1"/>
  <c r="AM17" i="3"/>
  <c r="AJ17" i="3"/>
  <c r="AL17" i="3" s="1"/>
  <c r="AM34" i="3"/>
  <c r="AJ34" i="3"/>
  <c r="AL34" i="3" s="1"/>
  <c r="AM31" i="3"/>
  <c r="AJ31" i="3"/>
  <c r="AL31" i="3" s="1"/>
  <c r="AM16" i="3"/>
  <c r="AJ16" i="3"/>
  <c r="AL16" i="3" s="1"/>
  <c r="AM15" i="3"/>
  <c r="AJ15" i="3"/>
  <c r="AL15" i="3" s="1"/>
  <c r="AM14" i="3"/>
  <c r="AJ14" i="3"/>
  <c r="AL14" i="3" s="1"/>
  <c r="AM11" i="3"/>
  <c r="AJ11" i="3"/>
  <c r="AL11" i="3" s="1"/>
  <c r="AM10" i="3"/>
  <c r="AJ10" i="3"/>
  <c r="AL10" i="3" s="1"/>
  <c r="AM8" i="3"/>
  <c r="AJ8" i="3"/>
  <c r="AL8" i="3" s="1"/>
  <c r="S8" i="3"/>
  <c r="N31" i="3"/>
  <c r="N32" i="3"/>
  <c r="N33" i="3"/>
  <c r="V8" i="3" l="1"/>
  <c r="R32" i="3"/>
  <c r="R14" i="3"/>
  <c r="S14" i="3" s="1"/>
  <c r="R9" i="3"/>
  <c r="N9" i="3"/>
  <c r="V14" i="3" l="1"/>
  <c r="S32" i="3"/>
  <c r="S9" i="3"/>
  <c r="R31" i="3"/>
  <c r="AE9" i="3" l="1"/>
  <c r="AD9" i="3"/>
  <c r="AC9" i="3"/>
  <c r="AB9" i="3"/>
  <c r="AA9" i="3"/>
  <c r="AG9" i="3"/>
  <c r="AF9" i="3"/>
  <c r="AH9" i="3"/>
  <c r="V9" i="3"/>
  <c r="V32" i="3"/>
  <c r="T8" i="3"/>
  <c r="S31" i="3"/>
  <c r="AM9" i="3" l="1"/>
  <c r="AJ9" i="3"/>
  <c r="AL9" i="3" s="1"/>
  <c r="T32" i="3"/>
  <c r="V31" i="3"/>
  <c r="T14" i="3"/>
  <c r="T9" i="3" l="1"/>
  <c r="T31" i="3"/>
  <c r="R13" i="3"/>
  <c r="R15" i="3"/>
  <c r="R16" i="3"/>
  <c r="R17" i="3"/>
  <c r="S17" i="3" s="1"/>
  <c r="R33" i="3"/>
  <c r="R34" i="3"/>
  <c r="R35" i="3"/>
  <c r="N34" i="3"/>
  <c r="N35" i="3"/>
  <c r="V17" i="3" l="1"/>
  <c r="S35" i="3"/>
  <c r="S34" i="3"/>
  <c r="S33" i="3"/>
  <c r="S16" i="3"/>
  <c r="S15" i="3"/>
  <c r="S13" i="3"/>
  <c r="R10" i="3"/>
  <c r="R11" i="3"/>
  <c r="N10" i="3"/>
  <c r="N11" i="3"/>
  <c r="V13" i="3" l="1"/>
  <c r="V15" i="3"/>
  <c r="V16" i="3"/>
  <c r="V33" i="3"/>
  <c r="V34" i="3"/>
  <c r="V35" i="3"/>
  <c r="S11" i="3"/>
  <c r="S10" i="3"/>
  <c r="R7" i="3"/>
  <c r="N7" i="3"/>
  <c r="V11" i="3" l="1"/>
  <c r="V10" i="3"/>
  <c r="T33" i="3"/>
  <c r="H35" i="3"/>
  <c r="H34" i="3"/>
  <c r="H16" i="3"/>
  <c r="H17" i="3"/>
  <c r="S7" i="3"/>
  <c r="AA7" i="3" l="1"/>
  <c r="AF7" i="3"/>
  <c r="AE7" i="3"/>
  <c r="AC7" i="3"/>
  <c r="AB7" i="3"/>
  <c r="T13" i="3"/>
  <c r="T34" i="3"/>
  <c r="T17" i="3"/>
  <c r="T16" i="3"/>
  <c r="T15" i="3"/>
  <c r="T35" i="3"/>
  <c r="H11" i="3"/>
  <c r="AM7" i="3" l="1"/>
  <c r="AJ7" i="3"/>
  <c r="AL7" i="3" s="1"/>
  <c r="T11" i="3"/>
  <c r="T10" i="3"/>
  <c r="H10" i="3"/>
  <c r="Y37" i="3" l="1"/>
  <c r="D7" i="3"/>
  <c r="T7" i="3"/>
  <c r="D13" i="3" l="1"/>
  <c r="D19" i="3"/>
  <c r="D25" i="3"/>
  <c r="D31" i="3"/>
</calcChain>
</file>

<file path=xl/sharedStrings.xml><?xml version="1.0" encoding="utf-8"?>
<sst xmlns="http://schemas.openxmlformats.org/spreadsheetml/2006/main" count="425" uniqueCount="131">
  <si>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</si>
  <si>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</si>
  <si>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</si>
  <si>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</si>
  <si>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</si>
  <si>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</si>
  <si>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</si>
  <si>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</si>
  <si>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</si>
  <si>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</si>
  <si>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</si>
  <si>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</si>
  <si>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</si>
  <si>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</si>
  <si>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</si>
  <si>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</si>
  <si>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</si>
  <si>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</si>
  <si>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</si>
  <si>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</si>
  <si>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NATIONAL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</si>
  <si>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</si>
  <si>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</si>
  <si>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</si>
  <si>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</si>
  <si>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</si>
  <si>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</si>
  <si>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</si>
  <si>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</si>
  <si>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</si>
  <si>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</si>
  <si>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</si>
  <si>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</si>
  <si>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</si>
  <si>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</si>
  <si>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Genre</t>
  </si>
  <si>
    <t/>
  </si>
  <si>
    <t>DPT +</t>
  </si>
  <si>
    <t>DEB</t>
  </si>
  <si>
    <t>U15 F40</t>
  </si>
  <si>
    <t>DIVISION</t>
  </si>
  <si>
    <t>U13</t>
  </si>
  <si>
    <t>U15</t>
  </si>
  <si>
    <t>U17</t>
  </si>
  <si>
    <t>U20</t>
  </si>
  <si>
    <t>SENIORS</t>
  </si>
  <si>
    <t>Categories</t>
  </si>
  <si>
    <t>Année max (inclus)</t>
  </si>
  <si>
    <t>Année min (inclus)</t>
  </si>
  <si>
    <t>U10</t>
  </si>
  <si>
    <t>H</t>
  </si>
  <si>
    <t>F</t>
  </si>
  <si>
    <t xml:space="preserve"> </t>
  </si>
  <si>
    <t>AURA</t>
  </si>
  <si>
    <t>REGIONALE</t>
  </si>
  <si>
    <t xml:space="preserve">CHAMPIONNAT REGIONAL  DES CLUBS
 - MIXTE - </t>
  </si>
  <si>
    <t>SECRETAIRE :</t>
  </si>
  <si>
    <t>1            M.</t>
  </si>
  <si>
    <t>ARBITRES :</t>
  </si>
  <si>
    <t>2            M.</t>
  </si>
  <si>
    <t>3            M.</t>
  </si>
  <si>
    <t>U15 M47</t>
  </si>
  <si>
    <t>U17 M56</t>
  </si>
  <si>
    <t>U20 M60</t>
  </si>
  <si>
    <t>SE M60</t>
  </si>
  <si>
    <t>U17 F44</t>
  </si>
  <si>
    <t>U20 F48</t>
  </si>
  <si>
    <t>SE F48</t>
  </si>
  <si>
    <t>U15 M52</t>
  </si>
  <si>
    <t>U15 F44</t>
  </si>
  <si>
    <t>U15 M56</t>
  </si>
  <si>
    <t>U15 F48</t>
  </si>
  <si>
    <t>U17 F48</t>
  </si>
  <si>
    <t>U15 M60</t>
  </si>
  <si>
    <t>U17 M60</t>
  </si>
  <si>
    <t>U15 F53</t>
  </si>
  <si>
    <t>U17 F53</t>
  </si>
  <si>
    <t>U20 F53</t>
  </si>
  <si>
    <t>SE F53</t>
  </si>
  <si>
    <t>U15 M65</t>
  </si>
  <si>
    <t>U17 M65</t>
  </si>
  <si>
    <t>U20 M65</t>
  </si>
  <si>
    <t>SE M65</t>
  </si>
  <si>
    <t>U15 F58</t>
  </si>
  <si>
    <t>U17 F58</t>
  </si>
  <si>
    <t>U20 F58</t>
  </si>
  <si>
    <t>SE F58</t>
  </si>
  <si>
    <t>U15 M71</t>
  </si>
  <si>
    <t>U17 M71</t>
  </si>
  <si>
    <t>U20 M71</t>
  </si>
  <si>
    <t>SE M71</t>
  </si>
  <si>
    <t>U15 F63</t>
  </si>
  <si>
    <t>U17 F63</t>
  </si>
  <si>
    <t>U20 F63</t>
  </si>
  <si>
    <t>SE F63</t>
  </si>
  <si>
    <t>U15 M79</t>
  </si>
  <si>
    <t>U17 M79</t>
  </si>
  <si>
    <t>U20 M79</t>
  </si>
  <si>
    <t>SE M79</t>
  </si>
  <si>
    <t>U15 F69</t>
  </si>
  <si>
    <t>U17 F69</t>
  </si>
  <si>
    <t>U20 F69</t>
  </si>
  <si>
    <t>SE F69</t>
  </si>
  <si>
    <t>U15 M88</t>
  </si>
  <si>
    <t>U17 M88</t>
  </si>
  <si>
    <t>U20 M88</t>
  </si>
  <si>
    <t>SE M88</t>
  </si>
  <si>
    <t>U15 F&gt;69</t>
  </si>
  <si>
    <t>U17 F77</t>
  </si>
  <si>
    <t>U20 F77</t>
  </si>
  <si>
    <t>SE F77</t>
  </si>
  <si>
    <t>U15 M&gt;88</t>
  </si>
  <si>
    <t>U17 M94</t>
  </si>
  <si>
    <t>U20 M94</t>
  </si>
  <si>
    <t>SE M94</t>
  </si>
  <si>
    <t>U17 F&gt;77</t>
  </si>
  <si>
    <t>U20 F86</t>
  </si>
  <si>
    <t>SE F86</t>
  </si>
  <si>
    <t>U17 M&gt;94</t>
  </si>
  <si>
    <t>U20 M110</t>
  </si>
  <si>
    <t>SE M110</t>
  </si>
  <si>
    <t>U20 F&gt;86</t>
  </si>
  <si>
    <t>SE F&gt;86</t>
  </si>
  <si>
    <t>U20 M&gt;110</t>
  </si>
  <si>
    <t>SE M&gt;110</t>
  </si>
  <si>
    <t>HONNEUR</t>
  </si>
  <si>
    <t>EUROPE</t>
  </si>
  <si>
    <t>MONDE</t>
  </si>
  <si>
    <t>HON +</t>
  </si>
  <si>
    <t>EUR +</t>
  </si>
  <si>
    <t>MONDE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</si>
</sst>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yy"/>
    <numFmt numFmtId="167" formatCode="[$-40C]d\-mmm\-yy;@"/>
    <numFmt numFmtId="168" formatCode="0.00_)"/>
  </numFmts>
  <fonts count="40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indexed="55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b/>
      <sz val="28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b/>
      <sz val="14"/>
      <color indexed="8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b/>
      <sz val="2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Calumet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indexed="64"/>
      <name val="Arial"/>
      <family val="2"/>
    </font>
    <font>
      <b/>
      <sz val="11"/>
      <color theme="1"/>
      <name val="Arial"/>
      <family val="2"/>
    </font>
    <font>
      <b/>
      <sz val="10"/>
      <color indexed="4"/>
      <name val="Arial"/>
      <family val="2"/>
    </font>
    <font>
      <b/>
      <sz val="11"/>
      <color indexed="6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"/>
        <bgColor indexed="2"/>
      </patternFill>
    </fill>
    <fill>
      <patternFill patternType="solid">
        <fgColor indexed="5"/>
        <bgColor indexed="5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CC0D9"/>
        <bgColor rgb="FFCCC0D9"/>
      </patternFill>
    </fill>
    <fill>
      <patternFill patternType="solid">
        <fgColor rgb="FF66FF99"/>
        <bgColor rgb="FF66FF99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666699"/>
      </bottom>
      <diagonal/>
    </border>
    <border>
      <left/>
      <right/>
      <top style="medium">
        <color rgb="FF666699"/>
      </top>
      <bottom style="medium">
        <color rgb="FF666699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dashed">
        <color theme="0" tint="-0.499984740745262"/>
      </right>
      <top style="medium">
        <color auto="1"/>
      </top>
      <bottom style="dotted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auto="1"/>
      </top>
      <bottom style="dotted">
        <color auto="1"/>
      </bottom>
      <diagonal/>
    </border>
    <border>
      <left style="dashed">
        <color theme="0" tint="-0.499984740745262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ashed">
        <color theme="0" tint="-0.499984740745262"/>
      </right>
      <top style="dotted">
        <color auto="1"/>
      </top>
      <bottom style="dotted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otted">
        <color auto="1"/>
      </top>
      <bottom style="dotted">
        <color auto="1"/>
      </bottom>
      <diagonal/>
    </border>
    <border>
      <left style="dashed">
        <color theme="0" tint="-0.499984740745262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ashed">
        <color theme="0" tint="-0.499984740745262"/>
      </right>
      <top style="dotted">
        <color auto="1"/>
      </top>
      <bottom style="medium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otted">
        <color auto="1"/>
      </top>
      <bottom style="medium">
        <color auto="1"/>
      </bottom>
      <diagonal/>
    </border>
    <border>
      <left style="dashed">
        <color theme="0" tint="-0.499984740745262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textRotation="9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6" fontId="2" fillId="2" borderId="0" xfId="0" applyNumberFormat="1" applyFont="1" applyFill="1" applyAlignment="1" applyProtection="1">
      <alignment horizontal="center" vertical="center"/>
      <protection locked="0"/>
    </xf>
    <xf numFmtId="164" fontId="11" fillId="2" borderId="0" xfId="0" applyNumberFormat="1" applyFont="1" applyFill="1" applyAlignment="1" applyProtection="1">
      <alignment vertical="center"/>
      <protection locked="0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1" fontId="1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17" fillId="0" borderId="0" xfId="0" applyFont="1"/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1" fontId="0" fillId="0" borderId="0" xfId="0" applyNumberFormat="1"/>
    <xf numFmtId="0" fontId="21" fillId="0" borderId="0" xfId="0" applyFont="1"/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11" fillId="2" borderId="2" xfId="0" applyNumberFormat="1" applyFont="1" applyFill="1" applyBorder="1" applyAlignment="1" applyProtection="1">
      <alignment vertical="center"/>
      <protection locked="0"/>
    </xf>
    <xf numFmtId="1" fontId="12" fillId="2" borderId="2" xfId="0" applyNumberFormat="1" applyFont="1" applyFill="1" applyBorder="1" applyAlignment="1" applyProtection="1">
      <alignment horizontal="center" vertical="center"/>
      <protection locked="0"/>
    </xf>
    <xf numFmtId="1" fontId="1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164" fontId="26" fillId="2" borderId="9" xfId="0" applyNumberFormat="1" applyFont="1" applyFill="1" applyBorder="1" applyAlignment="1" applyProtection="1">
      <alignment horizontal="left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19" fillId="2" borderId="9" xfId="0" applyNumberFormat="1" applyFont="1" applyFill="1" applyBorder="1" applyAlignment="1" applyProtection="1">
      <alignment horizontal="center" vertical="center"/>
      <protection locked="0"/>
    </xf>
    <xf numFmtId="1" fontId="5" fillId="2" borderId="10" xfId="0" applyNumberFormat="1" applyFont="1" applyFill="1" applyBorder="1" applyAlignment="1" applyProtection="1">
      <alignment horizontal="center" vertical="center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20" fillId="2" borderId="14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2" fontId="13" fillId="2" borderId="13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26" fillId="2" borderId="16" xfId="0" applyNumberFormat="1" applyFont="1" applyFill="1" applyBorder="1" applyAlignment="1" applyProtection="1">
      <alignment horizontal="left" vertical="center"/>
      <protection locked="0"/>
    </xf>
    <xf numFmtId="1" fontId="3" fillId="2" borderId="16" xfId="0" applyNumberFormat="1" applyFont="1" applyFill="1" applyBorder="1" applyAlignment="1" applyProtection="1">
      <alignment horizontal="center" vertical="center"/>
      <protection locked="0"/>
    </xf>
    <xf numFmtId="2" fontId="19" fillId="2" borderId="16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18" xfId="0" applyNumberFormat="1" applyFont="1" applyFill="1" applyBorder="1" applyAlignment="1" applyProtection="1">
      <alignment horizontal="center" vertical="center"/>
      <protection locked="0"/>
    </xf>
    <xf numFmtId="1" fontId="5" fillId="2" borderId="19" xfId="0" applyNumberFormat="1" applyFont="1" applyFill="1" applyBorder="1" applyAlignment="1" applyProtection="1">
      <alignment horizontal="center" vertical="center"/>
      <protection locked="0"/>
    </xf>
    <xf numFmtId="1" fontId="20" fillId="2" borderId="21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2" fontId="13" fillId="2" borderId="20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 applyProtection="1">
      <alignment horizontal="center" vertical="center"/>
      <protection locked="0"/>
    </xf>
    <xf numFmtId="164" fontId="26" fillId="2" borderId="23" xfId="0" applyNumberFormat="1" applyFont="1" applyFill="1" applyBorder="1" applyAlignment="1" applyProtection="1">
      <alignment horizontal="left" vertical="center"/>
      <protection locked="0"/>
    </xf>
    <xf numFmtId="1" fontId="3" fillId="2" borderId="23" xfId="0" applyNumberFormat="1" applyFont="1" applyFill="1" applyBorder="1" applyAlignment="1" applyProtection="1">
      <alignment horizontal="center" vertical="center"/>
      <protection locked="0"/>
    </xf>
    <xf numFmtId="2" fontId="19" fillId="2" borderId="23" xfId="0" applyNumberFormat="1" applyFont="1" applyFill="1" applyBorder="1" applyAlignment="1" applyProtection="1">
      <alignment horizontal="center" vertical="center"/>
      <protection locked="0"/>
    </xf>
    <xf numFmtId="1" fontId="5" fillId="2" borderId="24" xfId="0" applyNumberFormat="1" applyFont="1" applyFill="1" applyBorder="1" applyAlignment="1" applyProtection="1">
      <alignment horizontal="center" vertical="center"/>
      <protection locked="0"/>
    </xf>
    <xf numFmtId="1" fontId="5" fillId="2" borderId="25" xfId="0" applyNumberFormat="1" applyFont="1" applyFill="1" applyBorder="1" applyAlignment="1" applyProtection="1">
      <alignment horizontal="center" vertical="center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1" fontId="20" fillId="2" borderId="28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2" fontId="13" fillId="2" borderId="27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" fontId="9" fillId="5" borderId="13" xfId="0" applyNumberFormat="1" applyFont="1" applyFill="1" applyBorder="1" applyAlignment="1">
      <alignment horizontal="center" vertical="center"/>
    </xf>
    <xf numFmtId="1" fontId="9" fillId="5" borderId="20" xfId="0" applyNumberFormat="1" applyFont="1" applyFill="1" applyBorder="1" applyAlignment="1">
      <alignment horizontal="center" vertical="center"/>
    </xf>
    <xf numFmtId="1" fontId="9" fillId="5" borderId="27" xfId="0" applyNumberFormat="1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164" fontId="28" fillId="6" borderId="6" xfId="0" applyNumberFormat="1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2" fontId="13" fillId="2" borderId="3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textRotation="90"/>
    </xf>
    <xf numFmtId="0" fontId="23" fillId="2" borderId="0" xfId="0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locked="0"/>
    </xf>
    <xf numFmtId="164" fontId="26" fillId="2" borderId="0" xfId="0" applyNumberFormat="1" applyFont="1" applyFill="1" applyAlignment="1" applyProtection="1">
      <alignment horizontal="left" vertical="center"/>
      <protection locked="0"/>
    </xf>
    <xf numFmtId="1" fontId="3" fillId="2" borderId="0" xfId="0" applyNumberFormat="1" applyFont="1" applyFill="1" applyAlignment="1" applyProtection="1">
      <alignment horizontal="center" vertical="center"/>
      <protection locked="0"/>
    </xf>
    <xf numFmtId="2" fontId="19" fillId="2" borderId="0" xfId="0" applyNumberFormat="1" applyFont="1" applyFill="1" applyAlignment="1" applyProtection="1">
      <alignment horizontal="center" vertical="center"/>
      <protection locked="0"/>
    </xf>
    <xf numFmtId="1" fontId="5" fillId="2" borderId="0" xfId="0" applyNumberFormat="1" applyFont="1" applyFill="1" applyAlignment="1" applyProtection="1">
      <alignment horizontal="center" vertical="center"/>
      <protection locked="0"/>
    </xf>
    <xf numFmtId="1" fontId="9" fillId="5" borderId="0" xfId="0" applyNumberFormat="1" applyFont="1" applyFill="1" applyAlignment="1">
      <alignment horizontal="center" vertical="center"/>
    </xf>
    <xf numFmtId="1" fontId="20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2" fontId="2" fillId="2" borderId="0" xfId="0" applyNumberFormat="1" applyFont="1" applyFill="1" applyAlignment="1" applyProtection="1">
      <alignment vertical="center"/>
      <protection locked="0" hidden="1"/>
    </xf>
    <xf numFmtId="2" fontId="7" fillId="2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7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167" fontId="22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" fontId="22" fillId="0" borderId="35" xfId="0" applyNumberFormat="1" applyFont="1" applyBorder="1" applyAlignment="1">
      <alignment horizontal="center" vertical="center"/>
    </xf>
    <xf numFmtId="1" fontId="22" fillId="0" borderId="36" xfId="0" applyNumberFormat="1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textRotation="90"/>
    </xf>
    <xf numFmtId="0" fontId="15" fillId="2" borderId="29" xfId="0" applyFont="1" applyFill="1" applyBorder="1" applyAlignment="1">
      <alignment horizontal="center" vertical="center" textRotation="90"/>
    </xf>
    <xf numFmtId="0" fontId="15" fillId="2" borderId="15" xfId="0" applyFont="1" applyFill="1" applyBorder="1" applyAlignment="1">
      <alignment horizontal="center" vertical="center" textRotation="90"/>
    </xf>
    <xf numFmtId="0" fontId="15" fillId="2" borderId="22" xfId="0" applyFont="1" applyFill="1" applyBorder="1" applyAlignment="1">
      <alignment horizontal="center" vertical="center" textRotation="90"/>
    </xf>
    <xf numFmtId="0" fontId="4" fillId="7" borderId="9" xfId="0" applyFont="1" applyFill="1" applyBorder="1" applyAlignment="1" applyProtection="1">
      <alignment horizontal="center" vertical="center"/>
      <protection locked="0"/>
    </xf>
    <xf numFmtId="0" fontId="4" fillId="7" borderId="30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center" vertical="center"/>
      <protection locked="0"/>
    </xf>
    <xf numFmtId="2" fontId="29" fillId="6" borderId="16" xfId="0" applyNumberFormat="1" applyFont="1" applyFill="1" applyBorder="1" applyAlignment="1" applyProtection="1">
      <alignment horizontal="center" vertical="center"/>
      <protection locked="0"/>
    </xf>
    <xf numFmtId="0" fontId="29" fillId="6" borderId="23" xfId="0" applyFont="1" applyFill="1" applyBorder="1" applyAlignment="1" applyProtection="1">
      <alignment horizontal="center" vertical="center"/>
      <protection locked="0"/>
    </xf>
    <xf numFmtId="1" fontId="22" fillId="0" borderId="32" xfId="0" applyNumberFormat="1" applyFont="1" applyBorder="1" applyAlignment="1">
      <alignment horizontal="center" vertical="center"/>
    </xf>
    <xf numFmtId="1" fontId="22" fillId="0" borderId="33" xfId="0" applyNumberFormat="1" applyFont="1" applyBorder="1" applyAlignment="1">
      <alignment horizontal="center" vertical="center"/>
    </xf>
    <xf numFmtId="1" fontId="22" fillId="0" borderId="34" xfId="0" applyNumberFormat="1" applyFont="1" applyBorder="1" applyAlignment="1">
      <alignment horizontal="center" vertical="center"/>
    </xf>
    <xf numFmtId="0" fontId="34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 vertical="center"/>
    </xf>
    <xf numFmtId="2" fontId="33" fillId="0" borderId="0" xfId="0" applyNumberFormat="1" applyFont="1"/>
    <xf numFmtId="0" fontId="18" fillId="8" borderId="0" xfId="0" applyFont="1" applyFill="1"/>
    <xf numFmtId="0" fontId="33" fillId="0" borderId="0" xfId="0" applyFont="1" applyAlignment="1">
      <alignment horizontal="right"/>
    </xf>
    <xf numFmtId="0" fontId="35" fillId="0" borderId="0" xfId="0" applyFont="1"/>
    <xf numFmtId="0" fontId="33" fillId="9" borderId="0" xfId="0" applyFont="1" applyFill="1" applyAlignment="1">
      <alignment horizontal="center" vertical="center"/>
    </xf>
    <xf numFmtId="0" fontId="33" fillId="10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0" fontId="33" fillId="14" borderId="0" xfId="0" applyFont="1" applyFill="1" applyAlignment="1">
      <alignment horizontal="center"/>
    </xf>
    <xf numFmtId="0" fontId="36" fillId="14" borderId="0" xfId="0" applyFont="1" applyFill="1" applyAlignment="1">
      <alignment horizontal="center"/>
    </xf>
    <xf numFmtId="0" fontId="33" fillId="9" borderId="0" xfId="0" applyFont="1" applyFill="1" applyAlignment="1">
      <alignment horizontal="center"/>
    </xf>
    <xf numFmtId="0" fontId="33" fillId="10" borderId="0" xfId="0" applyFont="1" applyFill="1" applyAlignment="1">
      <alignment horizontal="center"/>
    </xf>
    <xf numFmtId="1" fontId="33" fillId="13" borderId="0" xfId="0" applyNumberFormat="1" applyFont="1" applyFill="1" applyAlignment="1">
      <alignment horizontal="center" vertical="center"/>
    </xf>
    <xf numFmtId="1" fontId="33" fillId="14" borderId="0" xfId="0" applyNumberFormat="1" applyFont="1" applyFill="1" applyAlignment="1">
      <alignment horizontal="center"/>
    </xf>
    <xf numFmtId="1" fontId="33" fillId="9" borderId="0" xfId="0" applyNumberFormat="1" applyFont="1" applyFill="1" applyAlignment="1">
      <alignment horizontal="center"/>
    </xf>
    <xf numFmtId="1" fontId="33" fillId="10" borderId="0" xfId="0" applyNumberFormat="1" applyFont="1" applyFill="1" applyAlignment="1">
      <alignment horizontal="center"/>
    </xf>
    <xf numFmtId="0" fontId="33" fillId="1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37" fillId="15" borderId="0" xfId="0" applyFont="1" applyFill="1" applyAlignment="1">
      <alignment horizontal="center" vertical="center"/>
    </xf>
    <xf numFmtId="0" fontId="38" fillId="15" borderId="0" xfId="0" applyFont="1" applyFill="1" applyAlignment="1">
      <alignment horizontal="center" vertical="center"/>
    </xf>
    <xf numFmtId="0" fontId="39" fillId="15" borderId="0" xfId="0" applyFont="1" applyFill="1" applyAlignment="1">
      <alignment horizontal="center" vertical="center"/>
    </xf>
    <xf numFmtId="1" fontId="37" fillId="15" borderId="0" xfId="0" applyNumberFormat="1" applyFont="1" applyFill="1" applyAlignment="1">
      <alignment horizontal="center" vertical="center"/>
    </xf>
    <xf numFmtId="1" fontId="31" fillId="0" borderId="0" xfId="0" applyNumberFormat="1" applyFont="1" applyBorder="1"/>
    <xf numFmtId="49" fontId="30" fillId="0" borderId="0" xfId="0" applyNumberFormat="1" applyFont="1" applyBorder="1" applyAlignment="1">
      <alignment horizontal="center"/>
    </xf>
    <xf numFmtId="1" fontId="30" fillId="0" borderId="0" xfId="0" applyNumberFormat="1" applyFont="1" applyBorder="1"/>
    <xf numFmtId="0" fontId="30" fillId="0" borderId="0" xfId="0" applyFont="1" applyBorder="1" applyAlignment="1">
      <alignment horizontal="center"/>
    </xf>
    <xf numFmtId="168" fontId="32" fillId="0" borderId="0" xfId="0" applyNumberFormat="1" applyFont="1" applyBorder="1" applyAlignment="1">
      <alignment vertical="center"/>
    </xf>
    <xf numFmtId="2" fontId="13" fillId="2" borderId="3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 applyProtection="1">
      <alignment horizontal="left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11" fillId="2" borderId="0" xfId="0" applyNumberFormat="1" applyFont="1" applyFill="1" applyBorder="1" applyAlignment="1" applyProtection="1">
      <alignment vertical="center"/>
      <protection locked="0"/>
    </xf>
    <xf numFmtId="1" fontId="12" fillId="2" borderId="0" xfId="0" applyNumberFormat="1" applyFont="1" applyFill="1" applyBorder="1" applyAlignment="1" applyProtection="1">
      <alignment horizontal="center" vertical="center"/>
      <protection locked="0"/>
    </xf>
    <xf numFmtId="1" fontId="12" fillId="2" borderId="0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b/>
        <i val="0"/>
        <color auto="1"/>
      </font>
      <fill>
        <patternFill>
          <bgColor rgb="FFFF0000"/>
        </patternFill>
      </fill>
    </dxf>
    <dxf>
      <font>
        <strike val="0"/>
        <color theme="0"/>
        <name val="Cambria"/>
        <scheme val="none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strike val="0"/>
        <color theme="0"/>
        <name val="Cambria"/>
        <scheme val="none"/>
      </font>
      <fill>
        <patternFill>
          <bgColor rgb="FFFF0000"/>
        </patternFill>
      </fill>
    </dxf>
    <dxf>
      <font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strike val="0"/>
        <color theme="0"/>
        <name val="Cambria"/>
        <scheme val="none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strike val="0"/>
        <color theme="0"/>
        <name val="Cambria"/>
        <scheme val="none"/>
      </font>
      <fill>
        <patternFill>
          <bgColor rgb="FFFF0000"/>
        </patternFill>
      </fill>
    </dxf>
    <dxf>
      <font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strike val="0"/>
        <color theme="0"/>
        <name val="Cambria"/>
        <scheme val="none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strike val="0"/>
        <color theme="0"/>
        <name val="Cambria"/>
        <scheme val="none"/>
      </font>
      <fill>
        <patternFill>
          <bgColor rgb="FFFF0000"/>
        </patternFill>
      </fill>
    </dxf>
    <dxf>
      <font>
        <color auto="1"/>
      </font>
      <fill>
        <patternFill>
          <bgColor rgb="FFFF99FF"/>
        </patternFill>
      </fill>
    </dxf>
  </dxfs>
  <tableStyles count="0" defaultTableStyle="TableStyleMedium9" defaultPivotStyle="PivotStyleLight16"/>
  <colors>
    <mruColors>
      <color rgb="FFFF99FF"/>
      <color rgb="FFFF66FF"/>
      <color rgb="FF66FF99"/>
      <color rgb="FF666699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374286</xdr:colOff>
      <xdr:row>1</xdr:row>
      <xdr:rowOff>125692</xdr:rowOff>
    </xdr:from>
    <xdr:to>
      <xdr:col>19</xdr:col>
      <xdr:colOff>492267</xdr:colOff>
      <xdr:row>3</xdr:row>
      <xdr:rowOff>68543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440825-2E16-4BF4-A5CE-D17EB93FC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9846" y="186652"/>
          <a:ext cx="758061" cy="704851"/>
        </a:xfrm>
        <a:prstGeom prst="rect">
          <a:avLst/>
        </a:prstGeom>
      </xdr:spPr>
    </xdr:pic>
    <xdr:clientData/>
  </xdr:twoCellAnchor>
  <xdr:twoCellAnchor editAs="oneCell">
    <xdr:from>
      <xdr:col>0</xdr:col>
      <xdr:colOff>59765</xdr:colOff>
      <xdr:row>0</xdr:row>
      <xdr:rowOff>0</xdr:rowOff>
    </xdr:from>
    <xdr:to>
      <xdr:col>3</xdr:col>
      <xdr:colOff>343647</xdr:colOff>
      <xdr:row>4</xdr:row>
      <xdr:rowOff>156883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2EDE47-20C2-448B-BCE0-F3C6AF3E8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5" y="0"/>
          <a:ext cx="1449742" cy="12389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374286</xdr:colOff>
      <xdr:row>1</xdr:row>
      <xdr:rowOff>125692</xdr:rowOff>
    </xdr:from>
    <xdr:to>
      <xdr:col>19</xdr:col>
      <xdr:colOff>492267</xdr:colOff>
      <xdr:row>3</xdr:row>
      <xdr:rowOff>68543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41AD537-C552-4C35-B9A2-3B239F3DA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9846" y="186652"/>
          <a:ext cx="758061" cy="704851"/>
        </a:xfrm>
        <a:prstGeom prst="rect">
          <a:avLst/>
        </a:prstGeom>
      </xdr:spPr>
    </xdr:pic>
    <xdr:clientData/>
  </xdr:twoCellAnchor>
  <xdr:twoCellAnchor editAs="oneCell">
    <xdr:from>
      <xdr:col>0</xdr:col>
      <xdr:colOff>59765</xdr:colOff>
      <xdr:row>0</xdr:row>
      <xdr:rowOff>0</xdr:rowOff>
    </xdr:from>
    <xdr:to>
      <xdr:col>3</xdr:col>
      <xdr:colOff>343647</xdr:colOff>
      <xdr:row>4</xdr:row>
      <xdr:rowOff>156883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7419060-6687-4F92-9D87-D96F64A8F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5" y="0"/>
          <a:ext cx="1449742" cy="12389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374286</xdr:colOff>
      <xdr:row>1</xdr:row>
      <xdr:rowOff>125692</xdr:rowOff>
    </xdr:from>
    <xdr:to>
      <xdr:col>19</xdr:col>
      <xdr:colOff>492267</xdr:colOff>
      <xdr:row>3</xdr:row>
      <xdr:rowOff>68543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6580" y="185457"/>
          <a:ext cx="760452" cy="704851"/>
        </a:xfrm>
        <a:prstGeom prst="rect">
          <a:avLst/>
        </a:prstGeom>
      </xdr:spPr>
    </xdr:pic>
    <xdr:clientData/>
  </xdr:twoCellAnchor>
  <xdr:twoCellAnchor editAs="oneCell">
    <xdr:from>
      <xdr:col>0</xdr:col>
      <xdr:colOff>59765</xdr:colOff>
      <xdr:row>0</xdr:row>
      <xdr:rowOff>0</xdr:rowOff>
    </xdr:from>
    <xdr:to>
      <xdr:col>3</xdr:col>
      <xdr:colOff>343647</xdr:colOff>
      <xdr:row>4</xdr:row>
      <xdr:rowOff>156883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69B95B4-2BF9-5CE9-3A47-4FD8912DD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5" y="0"/>
          <a:ext cx="1449294" cy="124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5342E-2E7D-4DBB-81C7-425AED1F59F0}">
  <sheetPr>
    <pageSetUpPr fitToPage="1"/>
  </sheetPr>
  <dimension ref="A1:DS32"/>
  <sheetViews>
    <sheetView tabSelected="1" topLeftCell="A16" zoomScale="102" zoomScaleNormal="102" workbookViewId="0">
      <selection activeCell="F30" sqref="F30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5" width="6.6640625" style="1" customWidth="1"/>
    <col min="6" max="6" width="50.6640625" style="1" customWidth="1"/>
    <col min="7" max="7" width="5.6640625" style="1" customWidth="1"/>
    <col min="8" max="8" width="25.6640625" style="1" customWidth="1"/>
    <col min="9" max="9" width="5.6640625" style="2" bestFit="1" customWidth="1"/>
    <col min="10" max="10" width="10.77734375" style="1" customWidth="1"/>
    <col min="11" max="11" width="10.109375" style="1" customWidth="1"/>
    <col min="12" max="13" width="9.33203125" style="1" customWidth="1"/>
    <col min="14" max="14" width="9.33203125" style="3" customWidth="1"/>
    <col min="15" max="17" width="9.33203125" style="1" customWidth="1"/>
    <col min="18" max="19" width="9.33203125" style="3" customWidth="1"/>
    <col min="20" max="20" width="13.5546875" style="4" bestFit="1" customWidth="1"/>
    <col min="21" max="21" width="12" style="1" bestFit="1" customWidth="1"/>
    <col min="22" max="22" width="9.88671875" style="1" customWidth="1"/>
    <col min="23" max="23" width="1.6640625" style="1" customWidth="1"/>
    <col min="24" max="25" width="11.44140625" style="1" customWidth="1"/>
    <col min="26" max="38" width="11.44140625" style="28" hidden="1" customWidth="1"/>
    <col min="39" max="39" width="5.5546875" style="28" hidden="1" customWidth="1"/>
    <col min="40" max="40" width="11.44140625" style="28" hidden="1" customWidth="1"/>
    <col min="41" max="41" width="11.44140625" style="28" customWidth="1"/>
    <col min="42" max="123" width="11.44140625" style="28"/>
    <col min="124" max="16384" width="11.44140625" style="1"/>
  </cols>
  <sheetData>
    <row r="1" spans="1:123" ht="5.0999999999999996" customHeight="1"/>
    <row r="2" spans="1:123" s="9" customFormat="1" ht="30" customHeight="1">
      <c r="D2" s="117" t="s">
        <v>52</v>
      </c>
      <c r="E2" s="120" t="s">
        <v>55</v>
      </c>
      <c r="F2" s="120"/>
      <c r="G2" s="120"/>
      <c r="H2" s="120"/>
      <c r="I2" s="114"/>
      <c r="J2" s="122" t="s">
        <v>40</v>
      </c>
      <c r="K2" s="122"/>
      <c r="M2" s="122" t="s">
        <v>6</v>
      </c>
      <c r="N2" s="122"/>
      <c r="O2" s="122"/>
      <c r="P2" s="122"/>
      <c r="Q2" s="122"/>
      <c r="R2" s="122"/>
      <c r="U2" s="122" t="s">
        <v>15</v>
      </c>
      <c r="V2" s="122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</row>
    <row r="3" spans="1:123" s="9" customFormat="1" ht="30" customHeight="1">
      <c r="D3" s="117"/>
      <c r="E3" s="121"/>
      <c r="F3" s="121"/>
      <c r="G3" s="121"/>
      <c r="H3" s="121"/>
      <c r="I3" s="114"/>
      <c r="J3" s="125" t="s">
        <v>54</v>
      </c>
      <c r="K3" s="125"/>
      <c r="L3" s="115"/>
      <c r="M3" s="123" t="s">
        <v>52</v>
      </c>
      <c r="N3" s="123"/>
      <c r="O3" s="123"/>
      <c r="P3" s="123"/>
      <c r="Q3" s="123"/>
      <c r="R3" s="123"/>
      <c r="S3" s="116"/>
      <c r="T3" s="116"/>
      <c r="U3" s="124">
        <v>45976</v>
      </c>
      <c r="V3" s="124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</row>
    <row r="4" spans="1:123" s="8" customFormat="1" ht="20.399999999999999" customHeight="1">
      <c r="A4" s="7"/>
      <c r="B4" s="14"/>
      <c r="C4" s="7"/>
      <c r="D4" s="15"/>
      <c r="E4" s="15"/>
      <c r="F4" s="16"/>
      <c r="G4" s="18"/>
      <c r="H4" s="19"/>
      <c r="I4" s="20"/>
      <c r="J4" s="21"/>
      <c r="K4" s="22"/>
      <c r="L4" s="22"/>
      <c r="M4" s="22"/>
      <c r="N4" s="23"/>
      <c r="O4" s="22"/>
      <c r="P4" s="22"/>
      <c r="Q4" s="22"/>
      <c r="R4" s="23"/>
      <c r="S4" s="23"/>
      <c r="T4" s="24"/>
      <c r="U4" s="16"/>
      <c r="V4" s="16"/>
      <c r="W4" s="6"/>
      <c r="X4" s="6"/>
      <c r="Y4" s="6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</row>
    <row r="5" spans="1:123" s="13" customFormat="1" ht="18" customHeight="1">
      <c r="A5" s="12"/>
      <c r="B5" s="91" t="s">
        <v>9</v>
      </c>
      <c r="C5" s="92" t="s">
        <v>10</v>
      </c>
      <c r="D5" s="92" t="s">
        <v>7</v>
      </c>
      <c r="E5" s="92" t="s">
        <v>35</v>
      </c>
      <c r="F5" s="92" t="s">
        <v>0</v>
      </c>
      <c r="G5" s="92" t="s">
        <v>12</v>
      </c>
      <c r="H5" s="92" t="s">
        <v>11</v>
      </c>
      <c r="I5" s="93" t="s">
        <v>5</v>
      </c>
      <c r="J5" s="93" t="s">
        <v>1</v>
      </c>
      <c r="K5" s="52">
        <v>1</v>
      </c>
      <c r="L5" s="52">
        <v>2</v>
      </c>
      <c r="M5" s="52">
        <v>3</v>
      </c>
      <c r="N5" s="93" t="s">
        <v>13</v>
      </c>
      <c r="O5" s="52">
        <v>1</v>
      </c>
      <c r="P5" s="52">
        <v>2</v>
      </c>
      <c r="Q5" s="52">
        <v>3</v>
      </c>
      <c r="R5" s="93" t="s">
        <v>14</v>
      </c>
      <c r="S5" s="93" t="s">
        <v>2</v>
      </c>
      <c r="T5" s="93" t="s">
        <v>3</v>
      </c>
      <c r="U5" s="93" t="s">
        <v>8</v>
      </c>
      <c r="V5" s="94" t="s">
        <v>4</v>
      </c>
      <c r="W5" s="12"/>
      <c r="X5" s="12"/>
      <c r="Y5" s="12"/>
      <c r="Z5" s="31"/>
      <c r="AA5" s="163" t="s">
        <v>38</v>
      </c>
      <c r="AB5" s="163" t="s">
        <v>37</v>
      </c>
      <c r="AC5" s="163" t="s">
        <v>29</v>
      </c>
      <c r="AD5" s="163" t="s">
        <v>30</v>
      </c>
      <c r="AE5" s="163" t="s">
        <v>128</v>
      </c>
      <c r="AF5" s="163" t="s">
        <v>32</v>
      </c>
      <c r="AG5" s="163" t="s">
        <v>129</v>
      </c>
      <c r="AH5" s="163" t="s">
        <v>130</v>
      </c>
      <c r="AI5" s="37"/>
      <c r="AJ5" s="164"/>
      <c r="AK5" s="164"/>
      <c r="AL5" s="164"/>
      <c r="AM5" s="164"/>
      <c r="AN5" s="164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</row>
    <row r="6" spans="1:123" s="8" customFormat="1" ht="5.0999999999999996" customHeight="1" thickBot="1">
      <c r="A6" s="7"/>
      <c r="B6" s="14"/>
      <c r="C6" s="7"/>
      <c r="D6" s="16"/>
      <c r="E6" s="16"/>
      <c r="F6" s="17"/>
      <c r="G6" s="20"/>
      <c r="H6" s="19"/>
      <c r="I6" s="15"/>
      <c r="J6" s="21"/>
      <c r="K6" s="22"/>
      <c r="L6" s="22"/>
      <c r="M6" s="22"/>
      <c r="N6" s="23"/>
      <c r="O6" s="22"/>
      <c r="P6" s="22"/>
      <c r="Q6" s="22"/>
      <c r="R6" s="23"/>
      <c r="S6" s="23"/>
      <c r="T6" s="23"/>
      <c r="U6" s="23"/>
      <c r="V6" s="23"/>
      <c r="W6" s="6"/>
      <c r="X6" s="6"/>
      <c r="Y6" s="6"/>
      <c r="Z6" s="30"/>
      <c r="AA6" s="165" t="s">
        <v>27</v>
      </c>
      <c r="AB6" s="165" t="s">
        <v>28</v>
      </c>
      <c r="AC6" s="165" t="s">
        <v>29</v>
      </c>
      <c r="AD6" s="165" t="s">
        <v>30</v>
      </c>
      <c r="AE6" s="165" t="s">
        <v>31</v>
      </c>
      <c r="AF6" s="165" t="s">
        <v>32</v>
      </c>
      <c r="AG6" s="165" t="s">
        <v>33</v>
      </c>
      <c r="AH6" s="165" t="s">
        <v>34</v>
      </c>
      <c r="AI6" s="37"/>
      <c r="AJ6" s="165"/>
      <c r="AK6" s="165"/>
      <c r="AL6" s="165"/>
      <c r="AM6" s="165"/>
      <c r="AN6" s="165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</row>
    <row r="7" spans="1:123" s="5" customFormat="1" ht="34.950000000000003" customHeight="1">
      <c r="B7" s="128" t="s">
        <v>53</v>
      </c>
      <c r="C7" s="53"/>
      <c r="D7" s="137">
        <f>IF(H10="","",RANK(H10,$Y$27:$Y$30,0))</f>
        <v>2</v>
      </c>
      <c r="E7" s="54" t="s">
        <v>51</v>
      </c>
      <c r="F7" s="55"/>
      <c r="G7" s="109">
        <v>2003</v>
      </c>
      <c r="H7" s="132"/>
      <c r="I7" s="54"/>
      <c r="J7" s="57">
        <v>57</v>
      </c>
      <c r="K7" s="106">
        <v>41</v>
      </c>
      <c r="L7" s="59" t="s">
        <v>52</v>
      </c>
      <c r="M7" s="60"/>
      <c r="N7" s="88">
        <f>IF(E7="","",IF(MAXA(K7:M7)&lt;=0,0,MAXA(K7:M7)))</f>
        <v>41</v>
      </c>
      <c r="O7" s="106">
        <v>59</v>
      </c>
      <c r="P7" s="59"/>
      <c r="Q7" s="60"/>
      <c r="R7" s="88">
        <f>IF(E7="","",IF(MAXA(O7:Q7)&lt;=0,0,MAXA(O7:Q7)))</f>
        <v>59</v>
      </c>
      <c r="S7" s="61">
        <f>IF(E7="","",N7+R7)</f>
        <v>100</v>
      </c>
      <c r="T7" s="62" t="str">
        <f>+CONCATENATE(AL7," ",AM7)</f>
        <v>DPT + 9</v>
      </c>
      <c r="U7" s="62" t="str">
        <f>IF(E7=0," ",IF(E7="H",IF(G7&lt;=SENIORS_Min,VLOOKUP(J7,Minimas!$A$15:$F$29,6),IF(AND(G7&gt;=U20_Min,G7&lt;=U20_Max),VLOOKUP(J7,Minimas!$A$15:$F$29,5),IF(AND(G7&gt;=U17_Min,G7&lt;=U17_Max),VLOOKUP(J7,Minimas!$A$15:$F$29,4),IF(AND(G7&gt;=U15_Min,G7&lt;=U15_Max),VLOOKUP(J7,Minimas!$A$15:$F$29,3),VLOOKUP(J7,Minimas!$A$15:$F$29,2))))),IF(G7&lt;=SENIORS_Min,VLOOKUP(J7,Minimas!$G$15:$L$29,6),IF(AND(G7&gt;=U20_Min,G7&lt;=U20_Max),VLOOKUP(J7,Minimas!$G$15:$L$29,5),IF(AND(G7&gt;=U17_Min,G7&lt;=U17_Max),VLOOKUP(J7,Minimas!$G$15:$L$29,4),IF(AND(G7&gt;=U15_Min,G7&lt;=U15_Max),VLOOKUP(J7,Minimas!$G$15:$L$29,3),VLOOKUP(J7,Minimas!$G$15:$L$29,2)))))))</f>
        <v>SE F58</v>
      </c>
      <c r="V7" s="63">
        <f>IF(E7=" "," ",IF(E7="H",10^(0.722762521*LOG(J7/193.609)^2)*S7,IF(E7="F",10^(0.787004341* LOG(J7/153.757)^2)*S7*1.5,"")))</f>
        <v>210.01913511132219</v>
      </c>
      <c r="Z7" s="32"/>
      <c r="AA7" s="166">
        <f>$S7-HLOOKUP($U7,Minimas!$C$3:$BO$11,2,FALSE)</f>
        <v>29</v>
      </c>
      <c r="AB7" s="166">
        <f>$S7-HLOOKUP($U7,Minimas!$C$3:$BO$11,3,FALSE)</f>
        <v>9</v>
      </c>
      <c r="AC7" s="166">
        <f>$S7-HLOOKUP($U7,Minimas!$C$3:$BO$11,4,FALSE)</f>
        <v>-12</v>
      </c>
      <c r="AD7" s="166">
        <f>$S7-HLOOKUP($U7,Minimas!$C$3:$BO$11,5,FALSE)</f>
        <v>-32</v>
      </c>
      <c r="AE7" s="166">
        <f>$S7-HLOOKUP($U7,Minimas!$C$3:$BO$11,6,FALSE)</f>
        <v>-48</v>
      </c>
      <c r="AF7" s="166">
        <f>$S7-HLOOKUP($U7,Minimas!$C$3:$BO$11,7,FALSE)</f>
        <v>-62</v>
      </c>
      <c r="AG7" s="166">
        <f>$S7-HLOOKUP($U7,Minimas!$C$3:$BO$11,8,FALSE)</f>
        <v>-97</v>
      </c>
      <c r="AH7" s="166">
        <f>$S7-HLOOKUP($U7,Minimas!$C$3:$BO$11,9,FALSE)</f>
        <v>-103</v>
      </c>
      <c r="AI7" s="166"/>
      <c r="AJ7" s="163" t="str">
        <f>IF(E7=0," ",IF(AH7&gt;=0,$AH$5,IF(AG7&gt;=0,$AG$5,IF(AF7&gt;=0,$AF$5,IF(AE7&gt;=0,$AE$5,IF(AD7&gt;=0,$AD$5,IF(AC7&gt;=0,$AC$5,IF(AB7&gt;=0,$AB$5,$AA$5))))))))</f>
        <v>DPT +</v>
      </c>
      <c r="AK7" s="163"/>
      <c r="AL7" s="163" t="str">
        <f>IF(AJ7="","",AJ7)</f>
        <v>DPT +</v>
      </c>
      <c r="AM7" s="166">
        <f>IF(E7=0," ",IF(AH7&gt;=0,AH7,IF(AG7&gt;=0,AG7,IF(AF7&gt;=0,AF7,IF(AE7&gt;=0,AE7,IF(AD7&gt;=0,AD7,IF(AC7&gt;=0,AC7,IF(AB7&gt;=0,AB7,AA7))))))))</f>
        <v>9</v>
      </c>
      <c r="AN7" s="163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</row>
    <row r="8" spans="1:123" s="5" customFormat="1" ht="34.950000000000003" customHeight="1">
      <c r="B8" s="129"/>
      <c r="C8" s="64"/>
      <c r="D8" s="138"/>
      <c r="E8" s="65" t="s">
        <v>51</v>
      </c>
      <c r="F8" s="66"/>
      <c r="G8" s="110">
        <v>2004</v>
      </c>
      <c r="H8" s="133"/>
      <c r="I8" s="65"/>
      <c r="J8" s="68">
        <v>60</v>
      </c>
      <c r="K8" s="107">
        <v>46</v>
      </c>
      <c r="L8" s="70"/>
      <c r="M8" s="71"/>
      <c r="N8" s="89">
        <f>IF(E8="","",IF(MAXA(K8:M8)&lt;=0,0,MAXA(K8:M8)))</f>
        <v>46</v>
      </c>
      <c r="O8" s="107">
        <v>62</v>
      </c>
      <c r="P8" s="70"/>
      <c r="Q8" s="71"/>
      <c r="R8" s="89">
        <f>IF(E8="","",IF(MAXA(O8:Q8)&lt;=0,0,MAXA(O8:Q8)))</f>
        <v>62</v>
      </c>
      <c r="S8" s="72">
        <f>IF(E8="","",N8+R8)</f>
        <v>108</v>
      </c>
      <c r="T8" s="73" t="str">
        <f>+CONCATENATE(AL8," ",AM8)</f>
        <v>DPT + 13</v>
      </c>
      <c r="U8" s="73" t="str">
        <f>IF(E8=0," ",IF(E8="H",IF(G8&lt;=SENIORS_Min,VLOOKUP(J8,Minimas!$A$15:$F$29,6),IF(AND(G8&gt;=U20_Min,G8&lt;=U20_Max),VLOOKUP(J8,Minimas!$A$15:$F$29,5),IF(AND(G8&gt;=U17_Min,G8&lt;=U17_Max),VLOOKUP(J8,Minimas!$A$15:$F$29,4),IF(AND(G8&gt;=U15_Min,G8&lt;=U15_Max),VLOOKUP(J8,Minimas!$A$15:$F$29,3),VLOOKUP(J8,Minimas!$A$15:$F$29,2))))),IF(G8&lt;=SENIORS_Min,VLOOKUP(J8,Minimas!$G$15:$L$29,6),IF(AND(G8&gt;=U20_Min,G8&lt;=U20_Max),VLOOKUP(J8,Minimas!$G$15:$L$29,5),IF(AND(G8&gt;=U17_Min,G8&lt;=U17_Max),VLOOKUP(J8,Minimas!$G$15:$L$29,4),IF(AND(G8&gt;=U15_Min,G8&lt;=U15_Max),VLOOKUP(J8,Minimas!$G$15:$L$29,3),VLOOKUP(J8,Minimas!$G$15:$L$29,2)))))))</f>
        <v>SE F63</v>
      </c>
      <c r="V8" s="74">
        <f t="shared" ref="V8:V17" si="0">IF(E8=" "," ",IF(E8="H",10^(0.722762521*LOG(J8/193.609)^2)*S8,IF(E8="F",10^(0.787004341* LOG(J8/153.757)^2)*S8*1.5,"")))</f>
        <v>219.26146303547992</v>
      </c>
      <c r="Y8" s="112"/>
      <c r="Z8" s="32"/>
      <c r="AA8" s="166">
        <f>$S8-HLOOKUP($U8,Minimas!$C$3:$BO$11,2,FALSE)</f>
        <v>34</v>
      </c>
      <c r="AB8" s="166">
        <f>$S8-HLOOKUP($U8,Minimas!$C$3:$BO$11,3,FALSE)</f>
        <v>13</v>
      </c>
      <c r="AC8" s="166">
        <f>$S8-HLOOKUP($U8,Minimas!$C$3:$BO$11,4,FALSE)</f>
        <v>-8</v>
      </c>
      <c r="AD8" s="166">
        <f>$S8-HLOOKUP($U8,Minimas!$C$3:$BO$11,5,FALSE)</f>
        <v>-29</v>
      </c>
      <c r="AE8" s="166">
        <f>$S8-HLOOKUP($U8,Minimas!$C$3:$BO$11,6,FALSE)</f>
        <v>-46</v>
      </c>
      <c r="AF8" s="166">
        <f>$S8-HLOOKUP($U8,Minimas!$C$3:$BO$11,7,FALSE)</f>
        <v>-61</v>
      </c>
      <c r="AG8" s="166">
        <f>$S8-HLOOKUP($U8,Minimas!$C$3:$BO$11,8,FALSE)</f>
        <v>-97</v>
      </c>
      <c r="AH8" s="166">
        <f>$S8-HLOOKUP($U8,Minimas!$C$3:$BO$11,9,FALSE)</f>
        <v>-103</v>
      </c>
      <c r="AI8" s="166"/>
      <c r="AJ8" s="163" t="str">
        <f t="shared" ref="AJ8:AJ25" si="1">IF(E8=0," ",IF(AH8&gt;=0,$AH$5,IF(AG8&gt;=0,$AG$5,IF(AF8&gt;=0,$AF$5,IF(AE8&gt;=0,$AE$5,IF(AD8&gt;=0,$AD$5,IF(AC8&gt;=0,$AC$5,IF(AB8&gt;=0,$AB$5,$AA$5))))))))</f>
        <v>DPT +</v>
      </c>
      <c r="AK8" s="163"/>
      <c r="AL8" s="163" t="str">
        <f t="shared" ref="AL8:AL25" si="2">IF(AJ8="","",AJ8)</f>
        <v>DPT +</v>
      </c>
      <c r="AM8" s="166">
        <f t="shared" ref="AM8:AM25" si="3">IF(E8=0," ",IF(AH8&gt;=0,AH8,IF(AG8&gt;=0,AG8,IF(AF8&gt;=0,AF8,IF(AE8&gt;=0,AE8,IF(AD8&gt;=0,AD8,IF(AC8&gt;=0,AC8,IF(AB8&gt;=0,AB8,AA8))))))))</f>
        <v>13</v>
      </c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</row>
    <row r="9" spans="1:123" s="5" customFormat="1" ht="34.950000000000003" customHeight="1">
      <c r="B9" s="130"/>
      <c r="C9" s="64"/>
      <c r="D9" s="138"/>
      <c r="E9" s="65" t="s">
        <v>51</v>
      </c>
      <c r="F9" s="66"/>
      <c r="G9" s="110">
        <v>2005</v>
      </c>
      <c r="H9" s="134"/>
      <c r="I9" s="65"/>
      <c r="J9" s="68">
        <v>65</v>
      </c>
      <c r="K9" s="107">
        <v>92</v>
      </c>
      <c r="L9" s="70" t="s">
        <v>52</v>
      </c>
      <c r="M9" s="71"/>
      <c r="N9" s="89">
        <f>IF(E9="","",IF(MAXA(K9:M9)&lt;=0,0,MAXA(K9:M9)))</f>
        <v>92</v>
      </c>
      <c r="O9" s="107">
        <v>110</v>
      </c>
      <c r="P9" s="70"/>
      <c r="Q9" s="71"/>
      <c r="R9" s="89">
        <f>IF(E9="","",IF(MAXA(O9:Q9)&lt;=0,0,MAXA(O9:Q9)))</f>
        <v>110</v>
      </c>
      <c r="S9" s="72">
        <f>IF(E9="","",N9+R9)</f>
        <v>202</v>
      </c>
      <c r="T9" s="73" t="str">
        <f t="shared" ref="T9:T10" si="4">+CONCATENATE(AL9," ",AM9)</f>
        <v>NAT + 26</v>
      </c>
      <c r="U9" s="73" t="str">
        <f>IF(E9=0," ",IF(E9="H",IF(G9&lt;=SENIORS_Min,VLOOKUP(J9,Minimas!$A$15:$F$29,6),IF(AND(G9&gt;=U20_Min,G9&lt;=U20_Max),VLOOKUP(J9,Minimas!$A$15:$F$29,5),IF(AND(G9&gt;=U17_Min,G9&lt;=U17_Max),VLOOKUP(J9,Minimas!$A$15:$F$29,4),IF(AND(G9&gt;=U15_Min,G9&lt;=U15_Max),VLOOKUP(J9,Minimas!$A$15:$F$29,3),VLOOKUP(J9,Minimas!$A$15:$F$29,2))))),IF(G9&lt;=SENIORS_Min,VLOOKUP(J9,Minimas!$G$15:$L$29,6),IF(AND(G9&gt;=U20_Min,G9&lt;=U20_Max),VLOOKUP(J9,Minimas!$G$15:$L$29,5),IF(AND(G9&gt;=U17_Min,G9&lt;=U17_Max),VLOOKUP(J9,Minimas!$G$15:$L$29,4),IF(AND(G9&gt;=U15_Min,G9&lt;=U15_Max),VLOOKUP(J9,Minimas!$G$15:$L$29,3),VLOOKUP(J9,Minimas!$G$15:$L$29,2)))))))</f>
        <v>SE F69</v>
      </c>
      <c r="V9" s="74">
        <f t="shared" si="0"/>
        <v>390.37272370619769</v>
      </c>
      <c r="Y9" s="112"/>
      <c r="Z9" s="32"/>
      <c r="AA9" s="166">
        <f>$S9-HLOOKUP($U9,Minimas!$C$3:$BO$11,2,FALSE)</f>
        <v>125</v>
      </c>
      <c r="AB9" s="166">
        <f>$S9-HLOOKUP($U9,Minimas!$C$3:$BO$11,3,FALSE)</f>
        <v>103</v>
      </c>
      <c r="AC9" s="166">
        <f>$S9-HLOOKUP($U9,Minimas!$C$3:$BO$11,4,FALSE)</f>
        <v>81</v>
      </c>
      <c r="AD9" s="166">
        <f>$S9-HLOOKUP($U9,Minimas!$C$3:$BO$11,5,FALSE)</f>
        <v>59</v>
      </c>
      <c r="AE9" s="166">
        <f>$S9-HLOOKUP($U9,Minimas!$C$3:$BO$11,6,FALSE)</f>
        <v>41</v>
      </c>
      <c r="AF9" s="166">
        <f>$S9-HLOOKUP($U9,Minimas!$C$3:$BO$11,7,FALSE)</f>
        <v>26</v>
      </c>
      <c r="AG9" s="166">
        <f>$S9-HLOOKUP($U9,Minimas!$C$3:$BO$11,8,FALSE)</f>
        <v>-11</v>
      </c>
      <c r="AH9" s="166">
        <f>$S9-HLOOKUP($U9,Minimas!$C$3:$BO$11,9,FALSE)</f>
        <v>-18</v>
      </c>
      <c r="AI9" s="166"/>
      <c r="AJ9" s="163" t="str">
        <f t="shared" si="1"/>
        <v>NAT +</v>
      </c>
      <c r="AK9" s="163"/>
      <c r="AL9" s="163" t="str">
        <f t="shared" si="2"/>
        <v>NAT +</v>
      </c>
      <c r="AM9" s="166">
        <f t="shared" si="3"/>
        <v>26</v>
      </c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</row>
    <row r="10" spans="1:123" s="5" customFormat="1" ht="34.950000000000003" customHeight="1">
      <c r="B10" s="130"/>
      <c r="C10" s="64"/>
      <c r="D10" s="138"/>
      <c r="E10" s="65" t="s">
        <v>51</v>
      </c>
      <c r="F10" s="66"/>
      <c r="G10" s="110">
        <v>2006</v>
      </c>
      <c r="H10" s="135">
        <f>SUM(V7:V11)</f>
        <v>1347.9246196142831</v>
      </c>
      <c r="I10" s="65"/>
      <c r="J10" s="68">
        <v>67.900000000000006</v>
      </c>
      <c r="K10" s="107">
        <v>55</v>
      </c>
      <c r="L10" s="70"/>
      <c r="M10" s="71"/>
      <c r="N10" s="89">
        <f>IF(E10="","",IF(MAXA(K10:M10)&lt;=0,0,MAXA(K10:M10)))</f>
        <v>55</v>
      </c>
      <c r="O10" s="107">
        <v>85</v>
      </c>
      <c r="P10" s="70"/>
      <c r="Q10" s="71"/>
      <c r="R10" s="89">
        <f>IF(E10="","",IF(MAXA(O10:Q10)&lt;=0,0,MAXA(O10:Q10)))</f>
        <v>85</v>
      </c>
      <c r="S10" s="72">
        <f>IF(E10="","",N10+R10)</f>
        <v>140</v>
      </c>
      <c r="T10" s="73" t="str">
        <f t="shared" si="4"/>
        <v>IRG + 19</v>
      </c>
      <c r="U10" s="73" t="str">
        <f>IF(E10=0," ",IF(E10="H",IF(G10&lt;=SENIORS_Min,VLOOKUP(J10,Minimas!$A$15:$F$29,6),IF(AND(G10&gt;=U20_Min,G10&lt;=U20_Max),VLOOKUP(J10,Minimas!$A$15:$F$29,5),IF(AND(G10&gt;=U17_Min,G10&lt;=U17_Max),VLOOKUP(J10,Minimas!$A$15:$F$29,4),IF(AND(G10&gt;=U15_Min,G10&lt;=U15_Max),VLOOKUP(J10,Minimas!$A$15:$F$29,3),VLOOKUP(J10,Minimas!$A$15:$F$29,2))))),IF(G10&lt;=SENIORS_Min,VLOOKUP(J10,Minimas!$G$15:$L$29,6),IF(AND(G10&gt;=U20_Min,G10&lt;=U20_Max),VLOOKUP(J10,Minimas!$G$15:$L$29,5),IF(AND(G10&gt;=U17_Min,G10&lt;=U17_Max),VLOOKUP(J10,Minimas!$G$15:$L$29,4),IF(AND(G10&gt;=U15_Min,G10&lt;=U15_Max),VLOOKUP(J10,Minimas!$G$15:$L$29,3),VLOOKUP(J10,Minimas!$G$15:$L$29,2)))))))</f>
        <v>U20 F69</v>
      </c>
      <c r="V10" s="74">
        <f t="shared" si="0"/>
        <v>263.86514671670102</v>
      </c>
      <c r="Y10" s="112"/>
      <c r="Z10" s="32"/>
      <c r="AA10" s="166">
        <f>$S10-HLOOKUP($U10,Minimas!$C$3:$BO$11,2,FALSE)</f>
        <v>74</v>
      </c>
      <c r="AB10" s="166">
        <f>$S10-HLOOKUP($U10,Minimas!$C$3:$BO$11,3,FALSE)</f>
        <v>63</v>
      </c>
      <c r="AC10" s="166">
        <f>$S10-HLOOKUP($U10,Minimas!$C$3:$BO$11,4,FALSE)</f>
        <v>41</v>
      </c>
      <c r="AD10" s="166">
        <f>$S10-HLOOKUP($U10,Minimas!$C$3:$BO$11,5,FALSE)</f>
        <v>19</v>
      </c>
      <c r="AE10" s="166">
        <f>$S10-HLOOKUP($U10,Minimas!$C$3:$BO$11,6,FALSE)</f>
        <v>-3</v>
      </c>
      <c r="AF10" s="166">
        <f>$S10-HLOOKUP($U10,Minimas!$C$3:$BO$11,7,FALSE)</f>
        <v>-25</v>
      </c>
      <c r="AG10" s="166">
        <f>$S10-HLOOKUP($U10,Minimas!$C$3:$BO$11,8,FALSE)</f>
        <v>-51</v>
      </c>
      <c r="AH10" s="166">
        <f>$S10-HLOOKUP($U10,Minimas!$C$3:$BO$11,9,FALSE)</f>
        <v>-58</v>
      </c>
      <c r="AI10" s="166"/>
      <c r="AJ10" s="163" t="str">
        <f t="shared" si="1"/>
        <v>IRG +</v>
      </c>
      <c r="AK10" s="163"/>
      <c r="AL10" s="163" t="str">
        <f t="shared" si="2"/>
        <v>IRG +</v>
      </c>
      <c r="AM10" s="166">
        <f t="shared" si="3"/>
        <v>19</v>
      </c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</row>
    <row r="11" spans="1:123" s="5" customFormat="1" ht="34.950000000000003" customHeight="1" thickBot="1">
      <c r="B11" s="131"/>
      <c r="C11" s="75"/>
      <c r="D11" s="139"/>
      <c r="E11" s="76" t="s">
        <v>51</v>
      </c>
      <c r="F11" s="77"/>
      <c r="G11" s="111">
        <v>2008</v>
      </c>
      <c r="H11" s="136">
        <f>SUM(V7:V11)</f>
        <v>1347.9246196142831</v>
      </c>
      <c r="I11" s="76"/>
      <c r="J11" s="79">
        <v>66.8</v>
      </c>
      <c r="K11" s="108">
        <v>58</v>
      </c>
      <c r="L11" s="81"/>
      <c r="M11" s="82"/>
      <c r="N11" s="90">
        <f>IF(E11="","",IF(MAXA(K11:M11)&lt;=0,0,MAXA(K11:M11)))</f>
        <v>58</v>
      </c>
      <c r="O11" s="108">
        <v>81</v>
      </c>
      <c r="P11" s="81"/>
      <c r="Q11" s="82"/>
      <c r="R11" s="90">
        <f>IF(E11="","",IF(MAXA(O11:Q11)&lt;=0,0,MAXA(O11:Q11)))</f>
        <v>81</v>
      </c>
      <c r="S11" s="83">
        <f>IF(E11="","",N11+R11)</f>
        <v>139</v>
      </c>
      <c r="T11" s="84" t="str">
        <f>+CONCATENATE(AL11," ",AM11)</f>
        <v>IRG + 18</v>
      </c>
      <c r="U11" s="84" t="str">
        <f>IF(E11=0," ",IF(E11="H",IF(G11&lt;=SENIORS_Min,VLOOKUP(J11,Minimas!$A$15:$F$29,6),IF(AND(G11&gt;=U20_Min,G11&lt;=U20_Max),VLOOKUP(J11,Minimas!$A$15:$F$29,5),IF(AND(G11&gt;=U17_Min,G11&lt;=U17_Max),VLOOKUP(J11,Minimas!$A$15:$F$29,4),IF(AND(G11&gt;=U15_Min,G11&lt;=U15_Max),VLOOKUP(J11,Minimas!$A$15:$F$29,3),VLOOKUP(J11,Minimas!$A$15:$F$29,2))))),IF(G11&lt;=SENIORS_Min,VLOOKUP(J11,Minimas!$G$15:$L$29,6),IF(AND(G11&gt;=U20_Min,G11&lt;=U20_Max),VLOOKUP(J11,Minimas!$G$15:$L$29,5),IF(AND(G11&gt;=U17_Min,G11&lt;=U17_Max),VLOOKUP(J11,Minimas!$G$15:$L$29,4),IF(AND(G11&gt;=U15_Min,G11&lt;=U15_Max),VLOOKUP(J11,Minimas!$G$15:$L$29,3),VLOOKUP(J11,Minimas!$G$15:$L$29,2)))))))</f>
        <v>U20 F69</v>
      </c>
      <c r="V11" s="95">
        <f t="shared" si="0"/>
        <v>264.4061510445822</v>
      </c>
      <c r="Y11" s="112"/>
      <c r="Z11" s="32"/>
      <c r="AA11" s="166">
        <f>$S11-HLOOKUP($U11,Minimas!$C$3:$BO$11,2,FALSE)</f>
        <v>73</v>
      </c>
      <c r="AB11" s="166">
        <f>$S11-HLOOKUP($U11,Minimas!$C$3:$BO$11,3,FALSE)</f>
        <v>62</v>
      </c>
      <c r="AC11" s="166">
        <f>$S11-HLOOKUP($U11,Minimas!$C$3:$BO$11,4,FALSE)</f>
        <v>40</v>
      </c>
      <c r="AD11" s="166">
        <f>$S11-HLOOKUP($U11,Minimas!$C$3:$BO$11,5,FALSE)</f>
        <v>18</v>
      </c>
      <c r="AE11" s="166">
        <f>$S11-HLOOKUP($U11,Minimas!$C$3:$BO$11,6,FALSE)</f>
        <v>-4</v>
      </c>
      <c r="AF11" s="166">
        <f>$S11-HLOOKUP($U11,Minimas!$C$3:$BO$11,7,FALSE)</f>
        <v>-26</v>
      </c>
      <c r="AG11" s="166">
        <f>$S11-HLOOKUP($U11,Minimas!$C$3:$BO$11,8,FALSE)</f>
        <v>-52</v>
      </c>
      <c r="AH11" s="166">
        <f>$S11-HLOOKUP($U11,Minimas!$C$3:$BO$11,9,FALSE)</f>
        <v>-59</v>
      </c>
      <c r="AI11" s="166"/>
      <c r="AJ11" s="163" t="str">
        <f t="shared" si="1"/>
        <v>IRG +</v>
      </c>
      <c r="AK11" s="163"/>
      <c r="AL11" s="163" t="str">
        <f t="shared" si="2"/>
        <v>IRG +</v>
      </c>
      <c r="AM11" s="166">
        <f t="shared" si="3"/>
        <v>18</v>
      </c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</row>
    <row r="12" spans="1:123" s="8" customFormat="1" ht="5.0999999999999996" customHeight="1" thickBot="1">
      <c r="A12" s="7"/>
      <c r="B12" s="39"/>
      <c r="C12" s="40"/>
      <c r="D12" s="41"/>
      <c r="E12" s="42"/>
      <c r="F12" s="50"/>
      <c r="G12" s="43"/>
      <c r="H12" s="44"/>
      <c r="I12" s="45"/>
      <c r="J12" s="46"/>
      <c r="K12" s="47"/>
      <c r="L12" s="47"/>
      <c r="M12" s="47"/>
      <c r="N12" s="48"/>
      <c r="O12" s="47"/>
      <c r="P12" s="47"/>
      <c r="Q12" s="47"/>
      <c r="R12" s="48"/>
      <c r="S12" s="86"/>
      <c r="T12" s="87"/>
      <c r="U12" s="87"/>
      <c r="V12" s="63"/>
      <c r="W12" s="6"/>
      <c r="X12" s="6"/>
      <c r="Y12" s="113"/>
      <c r="Z12" s="30"/>
      <c r="AA12" s="166" t="e">
        <f>$S12-HLOOKUP($U12,Minimas!$C$3:$BO$11,2,FALSE)</f>
        <v>#N/A</v>
      </c>
      <c r="AB12" s="166" t="e">
        <f>$S12-HLOOKUP($U12,Minimas!$C$3:$BO$11,3,FALSE)</f>
        <v>#N/A</v>
      </c>
      <c r="AC12" s="166" t="e">
        <f>$S12-HLOOKUP($U12,Minimas!$C$3:$BO$11,4,FALSE)</f>
        <v>#N/A</v>
      </c>
      <c r="AD12" s="166" t="e">
        <f>$S12-HLOOKUP($U12,Minimas!$C$3:$BO$11,5,FALSE)</f>
        <v>#N/A</v>
      </c>
      <c r="AE12" s="166" t="e">
        <f>$S12-HLOOKUP($U12,Minimas!$C$3:$BO$11,6,FALSE)</f>
        <v>#N/A</v>
      </c>
      <c r="AF12" s="166" t="e">
        <f>$S12-HLOOKUP($U12,Minimas!$C$3:$BO$11,7,FALSE)</f>
        <v>#N/A</v>
      </c>
      <c r="AG12" s="166" t="e">
        <f>$S12-HLOOKUP($U12,Minimas!$C$3:$BO$11,8,FALSE)</f>
        <v>#N/A</v>
      </c>
      <c r="AH12" s="166" t="e">
        <f>$S12-HLOOKUP($U12,Minimas!$C$3:$BO$11,9,FALSE)</f>
        <v>#N/A</v>
      </c>
      <c r="AI12" s="166"/>
      <c r="AJ12" s="163" t="str">
        <f t="shared" si="1"/>
        <v xml:space="preserve"> </v>
      </c>
      <c r="AK12" s="163"/>
      <c r="AL12" s="163" t="str">
        <f t="shared" si="2"/>
        <v xml:space="preserve"> </v>
      </c>
      <c r="AM12" s="166" t="str">
        <f t="shared" si="3"/>
        <v xml:space="preserve"> </v>
      </c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</row>
    <row r="13" spans="1:123" s="5" customFormat="1" ht="34.950000000000003" customHeight="1">
      <c r="B13" s="128" t="s">
        <v>53</v>
      </c>
      <c r="C13" s="53"/>
      <c r="D13" s="126">
        <f>IF(H16="","",RANK(H16,$Y$27:$Y$30,0))</f>
        <v>3</v>
      </c>
      <c r="E13" s="54" t="s">
        <v>51</v>
      </c>
      <c r="F13" s="55"/>
      <c r="G13" s="56">
        <v>2003</v>
      </c>
      <c r="H13" s="132"/>
      <c r="I13" s="54"/>
      <c r="J13" s="57">
        <v>69</v>
      </c>
      <c r="K13" s="58">
        <v>90</v>
      </c>
      <c r="L13" s="59"/>
      <c r="M13" s="60"/>
      <c r="N13" s="88">
        <f>IF(E13="","",IF(MAXA(K13:M13)&lt;=0,0,MAXA(K13:M13)))</f>
        <v>90</v>
      </c>
      <c r="O13" s="58">
        <v>115</v>
      </c>
      <c r="P13" s="59"/>
      <c r="Q13" s="60"/>
      <c r="R13" s="88">
        <f>IF(E13="","",IF(MAXA(O13:Q13)&lt;=0,0,MAXA(O13:Q13)))</f>
        <v>115</v>
      </c>
      <c r="S13" s="61">
        <f>IF(E13="","",N13+R13)</f>
        <v>205</v>
      </c>
      <c r="T13" s="62" t="str">
        <f>+CONCATENATE(AL13," ",AM13)</f>
        <v>NAT + 29</v>
      </c>
      <c r="U13" s="62" t="str">
        <f>IF(E13=0," ",IF(E13="H",IF(G13&lt;=SENIORS_Min,VLOOKUP(J13,Minimas!$A$15:$F$29,6),IF(AND(G13&gt;=U20_Min,G13&lt;=U20_Max),VLOOKUP(J13,Minimas!$A$15:$F$29,5),IF(AND(G13&gt;=U17_Min,G13&lt;=U17_Max),VLOOKUP(J13,Minimas!$A$15:$F$29,4),IF(AND(G13&gt;=U15_Min,G13&lt;=U15_Max),VLOOKUP(J13,Minimas!$A$15:$F$29,3),VLOOKUP(J13,Minimas!$A$15:$F$29,2))))),IF(G13&lt;=SENIORS_Min,VLOOKUP(J13,Minimas!$G$15:$L$29,6),IF(AND(G13&gt;=U20_Min,G13&lt;=U20_Max),VLOOKUP(J13,Minimas!$G$15:$L$29,5),IF(AND(G13&gt;=U17_Min,G13&lt;=U17_Max),VLOOKUP(J13,Minimas!$G$15:$L$29,4),IF(AND(G13&gt;=U15_Min,G13&lt;=U15_Max),VLOOKUP(J13,Minimas!$G$15:$L$29,3),VLOOKUP(J13,Minimas!$G$15:$L$29,2)))))))</f>
        <v>SE F69</v>
      </c>
      <c r="V13" s="63">
        <f>IF(E13=" "," ",IF(E13="H",10^(0.722762521*LOG(J13/193.609)^2)*S13,IF(E13="F",10^(0.787004341* LOG(J13/153.757)^2)*S13*1.5,"")))</f>
        <v>382.9540961285461</v>
      </c>
      <c r="Y13" s="112"/>
      <c r="Z13" s="32"/>
      <c r="AA13" s="166">
        <f>$S13-HLOOKUP($U13,Minimas!$C$3:$BO$11,2,FALSE)</f>
        <v>128</v>
      </c>
      <c r="AB13" s="166">
        <f>$S13-HLOOKUP($U13,Minimas!$C$3:$BO$11,3,FALSE)</f>
        <v>106</v>
      </c>
      <c r="AC13" s="166">
        <f>$S13-HLOOKUP($U13,Minimas!$C$3:$BO$11,4,FALSE)</f>
        <v>84</v>
      </c>
      <c r="AD13" s="166">
        <f>$S13-HLOOKUP($U13,Minimas!$C$3:$BO$11,5,FALSE)</f>
        <v>62</v>
      </c>
      <c r="AE13" s="166">
        <f>$S13-HLOOKUP($U13,Minimas!$C$3:$BO$11,6,FALSE)</f>
        <v>44</v>
      </c>
      <c r="AF13" s="166">
        <f>$S13-HLOOKUP($U13,Minimas!$C$3:$BO$11,7,FALSE)</f>
        <v>29</v>
      </c>
      <c r="AG13" s="166">
        <f>$S13-HLOOKUP($U13,Minimas!$C$3:$BO$11,8,FALSE)</f>
        <v>-8</v>
      </c>
      <c r="AH13" s="166">
        <f>$S13-HLOOKUP($U13,Minimas!$C$3:$BO$11,9,FALSE)</f>
        <v>-15</v>
      </c>
      <c r="AI13" s="166"/>
      <c r="AJ13" s="163" t="str">
        <f t="shared" si="1"/>
        <v>NAT +</v>
      </c>
      <c r="AK13" s="163"/>
      <c r="AL13" s="163" t="str">
        <f t="shared" si="2"/>
        <v>NAT +</v>
      </c>
      <c r="AM13" s="166">
        <f t="shared" si="3"/>
        <v>29</v>
      </c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</row>
    <row r="14" spans="1:123" s="5" customFormat="1" ht="34.950000000000003" customHeight="1">
      <c r="B14" s="129"/>
      <c r="C14" s="64"/>
      <c r="D14" s="126"/>
      <c r="E14" s="65" t="s">
        <v>50</v>
      </c>
      <c r="F14" s="66"/>
      <c r="G14" s="67"/>
      <c r="H14" s="133"/>
      <c r="I14" s="65"/>
      <c r="J14" s="68">
        <v>59</v>
      </c>
      <c r="K14" s="69">
        <v>65</v>
      </c>
      <c r="L14" s="70"/>
      <c r="M14" s="71"/>
      <c r="N14" s="89">
        <f>IF(E14="","",IF(MAXA(K14:M14)&lt;=0,0,MAXA(K14:M14)))</f>
        <v>65</v>
      </c>
      <c r="O14" s="69">
        <v>80</v>
      </c>
      <c r="P14" s="70"/>
      <c r="Q14" s="71"/>
      <c r="R14" s="89">
        <f>IF(E14="","",IF(MAXA(O14:Q14)&lt;=0,0,MAXA(O14:Q14)))</f>
        <v>80</v>
      </c>
      <c r="S14" s="72">
        <f>IF(E14="","",N14+R14)</f>
        <v>145</v>
      </c>
      <c r="T14" s="73" t="str">
        <f>+CONCATENATE(AL14," ",AM14)</f>
        <v>DPT + 23</v>
      </c>
      <c r="U14" s="73" t="str">
        <f>IF(E14=0," ",IF(E14="H",IF(G14&lt;=SENIORS_Min,VLOOKUP(J14,Minimas!$A$15:$F$29,6),IF(AND(G14&gt;=U20_Min,G14&lt;=U20_Max),VLOOKUP(J14,Minimas!$A$15:$F$29,5),IF(AND(G14&gt;=U17_Min,G14&lt;=U17_Max),VLOOKUP(J14,Minimas!$A$15:$F$29,4),IF(AND(G14&gt;=U15_Min,G14&lt;=U15_Max),VLOOKUP(J14,Minimas!$A$15:$F$29,3),VLOOKUP(J14,Minimas!$A$15:$F$29,2))))),IF(G14&lt;=SENIORS_Min,VLOOKUP(J14,Minimas!$G$15:$L$29,6),IF(AND(G14&gt;=U20_Min,G14&lt;=U20_Max),VLOOKUP(J14,Minimas!$G$15:$L$29,5),IF(AND(G14&gt;=U17_Min,G14&lt;=U17_Max),VLOOKUP(J14,Minimas!$G$15:$L$29,4),IF(AND(G14&gt;=U15_Min,G14&lt;=U15_Max),VLOOKUP(J14,Minimas!$G$15:$L$29,3),VLOOKUP(J14,Minimas!$G$15:$L$29,2)))))))</f>
        <v>SE M60</v>
      </c>
      <c r="V14" s="74">
        <f t="shared" si="0"/>
        <v>225.87216229474754</v>
      </c>
      <c r="Z14" s="32"/>
      <c r="AA14" s="166">
        <f>$S14-HLOOKUP($U14,Minimas!$C$3:$BO$11,2,FALSE)</f>
        <v>50</v>
      </c>
      <c r="AB14" s="166">
        <f>$S14-HLOOKUP($U14,Minimas!$C$3:$BO$11,3,FALSE)</f>
        <v>23</v>
      </c>
      <c r="AC14" s="166">
        <f>$S14-HLOOKUP($U14,Minimas!$C$3:$BO$11,4,FALSE)</f>
        <v>-4</v>
      </c>
      <c r="AD14" s="166">
        <f>$S14-HLOOKUP($U14,Minimas!$C$3:$BO$11,5,FALSE)</f>
        <v>-31</v>
      </c>
      <c r="AE14" s="166">
        <f>$S14-HLOOKUP($U14,Minimas!$C$3:$BO$11,6,FALSE)</f>
        <v>-53</v>
      </c>
      <c r="AF14" s="166">
        <f>$S14-HLOOKUP($U14,Minimas!$C$3:$BO$11,7,FALSE)</f>
        <v>-72</v>
      </c>
      <c r="AG14" s="166">
        <f>$S14-HLOOKUP($U14,Minimas!$C$3:$BO$11,8,FALSE)</f>
        <v>-118</v>
      </c>
      <c r="AH14" s="166">
        <f>$S14-HLOOKUP($U14,Minimas!$C$3:$BO$11,9,FALSE)</f>
        <v>-126</v>
      </c>
      <c r="AI14" s="166"/>
      <c r="AJ14" s="163" t="str">
        <f t="shared" si="1"/>
        <v>DPT +</v>
      </c>
      <c r="AK14" s="163"/>
      <c r="AL14" s="163" t="str">
        <f t="shared" si="2"/>
        <v>DPT +</v>
      </c>
      <c r="AM14" s="166">
        <f t="shared" si="3"/>
        <v>23</v>
      </c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</row>
    <row r="15" spans="1:123" s="5" customFormat="1" ht="34.950000000000003" customHeight="1">
      <c r="B15" s="130"/>
      <c r="C15" s="64"/>
      <c r="D15" s="126"/>
      <c r="E15" s="65" t="s">
        <v>50</v>
      </c>
      <c r="F15" s="66"/>
      <c r="G15" s="67"/>
      <c r="H15" s="134"/>
      <c r="I15" s="65"/>
      <c r="J15" s="68">
        <v>61</v>
      </c>
      <c r="K15" s="69">
        <v>70</v>
      </c>
      <c r="L15" s="70"/>
      <c r="M15" s="71"/>
      <c r="N15" s="89">
        <f>IF(E15="","",IF(MAXA(K15:M15)&lt;=0,0,MAXA(K15:M15)))</f>
        <v>70</v>
      </c>
      <c r="O15" s="69">
        <v>90</v>
      </c>
      <c r="P15" s="70"/>
      <c r="Q15" s="71"/>
      <c r="R15" s="89">
        <f>IF(E15="","",IF(MAXA(O15:Q15)&lt;=0,0,MAXA(O15:Q15)))</f>
        <v>90</v>
      </c>
      <c r="S15" s="72">
        <f>IF(E15="","",N15+R15)</f>
        <v>160</v>
      </c>
      <c r="T15" s="73" t="str">
        <f t="shared" ref="T15:T16" si="5">+CONCATENATE(AL15," ",AM15)</f>
        <v>REG + 3</v>
      </c>
      <c r="U15" s="73" t="str">
        <f>IF(E15=0," ",IF(E15="H",IF(G15&lt;=SENIORS_Min,VLOOKUP(J15,Minimas!$A$15:$F$29,6),IF(AND(G15&gt;=U20_Min,G15&lt;=U20_Max),VLOOKUP(J15,Minimas!$A$15:$F$29,5),IF(AND(G15&gt;=U17_Min,G15&lt;=U17_Max),VLOOKUP(J15,Minimas!$A$15:$F$29,4),IF(AND(G15&gt;=U15_Min,G15&lt;=U15_Max),VLOOKUP(J15,Minimas!$A$15:$F$29,3),VLOOKUP(J15,Minimas!$A$15:$F$29,2))))),IF(G15&lt;=SENIORS_Min,VLOOKUP(J15,Minimas!$G$15:$L$29,6),IF(AND(G15&gt;=U20_Min,G15&lt;=U20_Max),VLOOKUP(J15,Minimas!$G$15:$L$29,5),IF(AND(G15&gt;=U17_Min,G15&lt;=U17_Max),VLOOKUP(J15,Minimas!$G$15:$L$29,4),IF(AND(G15&gt;=U15_Min,G15&lt;=U15_Max),VLOOKUP(J15,Minimas!$G$15:$L$29,3),VLOOKUP(J15,Minimas!$G$15:$L$29,2)))))))</f>
        <v>SE M65</v>
      </c>
      <c r="V15" s="74">
        <f t="shared" si="0"/>
        <v>243.20123182820913</v>
      </c>
      <c r="Z15" s="32"/>
      <c r="AA15" s="166">
        <f>$S15-HLOOKUP($U15,Minimas!$C$3:$BO$11,2,FALSE)</f>
        <v>60</v>
      </c>
      <c r="AB15" s="166">
        <f>$S15-HLOOKUP($U15,Minimas!$C$3:$BO$11,3,FALSE)</f>
        <v>31</v>
      </c>
      <c r="AC15" s="166">
        <f>$S15-HLOOKUP($U15,Minimas!$C$3:$BO$11,4,FALSE)</f>
        <v>3</v>
      </c>
      <c r="AD15" s="166">
        <f>$S15-HLOOKUP($U15,Minimas!$C$3:$BO$11,5,FALSE)</f>
        <v>-26</v>
      </c>
      <c r="AE15" s="166">
        <f>$S15-HLOOKUP($U15,Minimas!$C$3:$BO$11,6,FALSE)</f>
        <v>-49</v>
      </c>
      <c r="AF15" s="166">
        <f>$S15-HLOOKUP($U15,Minimas!$C$3:$BO$11,7,FALSE)</f>
        <v>-69</v>
      </c>
      <c r="AG15" s="166">
        <f>$S15-HLOOKUP($U15,Minimas!$C$3:$BO$11,8,FALSE)</f>
        <v>-117</v>
      </c>
      <c r="AH15" s="166">
        <f>$S15-HLOOKUP($U15,Minimas!$C$3:$BO$11,9,FALSE)</f>
        <v>-126</v>
      </c>
      <c r="AI15" s="166"/>
      <c r="AJ15" s="163" t="str">
        <f t="shared" si="1"/>
        <v>REG +</v>
      </c>
      <c r="AK15" s="163"/>
      <c r="AL15" s="163" t="str">
        <f t="shared" si="2"/>
        <v>REG +</v>
      </c>
      <c r="AM15" s="166">
        <f t="shared" si="3"/>
        <v>3</v>
      </c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</row>
    <row r="16" spans="1:123" s="5" customFormat="1" ht="34.950000000000003" customHeight="1">
      <c r="B16" s="130"/>
      <c r="C16" s="64"/>
      <c r="D16" s="126"/>
      <c r="E16" s="65" t="s">
        <v>50</v>
      </c>
      <c r="F16" s="66"/>
      <c r="G16" s="67"/>
      <c r="H16" s="135">
        <f>SUM(V13:V17)</f>
        <v>1308.105527004921</v>
      </c>
      <c r="I16" s="65" t="s">
        <v>36</v>
      </c>
      <c r="J16" s="68">
        <v>82</v>
      </c>
      <c r="K16" s="69">
        <v>55</v>
      </c>
      <c r="L16" s="70"/>
      <c r="M16" s="71"/>
      <c r="N16" s="89">
        <f>IF(E16="","",IF(MAXA(K16:M16)&lt;=0,0,MAXA(K16:M16)))</f>
        <v>55</v>
      </c>
      <c r="O16" s="69">
        <v>75</v>
      </c>
      <c r="P16" s="70"/>
      <c r="Q16" s="71"/>
      <c r="R16" s="89">
        <f>IF(E16="","",IF(MAXA(O16:Q16)&lt;=0,0,MAXA(O16:Q16)))</f>
        <v>75</v>
      </c>
      <c r="S16" s="72">
        <f>IF(E16="","",N16+R16)</f>
        <v>130</v>
      </c>
      <c r="T16" s="73" t="str">
        <f t="shared" si="5"/>
        <v>DEB 7</v>
      </c>
      <c r="U16" s="73" t="str">
        <f>IF(E16=0," ",IF(E16="H",IF(G16&lt;=SENIORS_Min,VLOOKUP(J16,Minimas!$A$15:$F$29,6),IF(AND(G16&gt;=U20_Min,G16&lt;=U20_Max),VLOOKUP(J16,Minimas!$A$15:$F$29,5),IF(AND(G16&gt;=U17_Min,G16&lt;=U17_Max),VLOOKUP(J16,Minimas!$A$15:$F$29,4),IF(AND(G16&gt;=U15_Min,G16&lt;=U15_Max),VLOOKUP(J16,Minimas!$A$15:$F$29,3),VLOOKUP(J16,Minimas!$A$15:$F$29,2))))),IF(G16&lt;=SENIORS_Min,VLOOKUP(J16,Minimas!$G$15:$L$29,6),IF(AND(G16&gt;=U20_Min,G16&lt;=U20_Max),VLOOKUP(J16,Minimas!$G$15:$L$29,5),IF(AND(G16&gt;=U17_Min,G16&lt;=U17_Max),VLOOKUP(J16,Minimas!$G$15:$L$29,4),IF(AND(G16&gt;=U15_Min,G16&lt;=U15_Max),VLOOKUP(J16,Minimas!$G$15:$L$29,3),VLOOKUP(J16,Minimas!$G$15:$L$29,2)))))))</f>
        <v>SE M88</v>
      </c>
      <c r="V16" s="74">
        <f t="shared" si="0"/>
        <v>163.89315246155539</v>
      </c>
      <c r="Z16" s="32"/>
      <c r="AA16" s="166">
        <f>$S16-HLOOKUP($U16,Minimas!$C$3:$BO$11,2,FALSE)</f>
        <v>7</v>
      </c>
      <c r="AB16" s="166">
        <f>$S16-HLOOKUP($U16,Minimas!$C$3:$BO$11,3,FALSE)</f>
        <v>-28</v>
      </c>
      <c r="AC16" s="166">
        <f>$S16-HLOOKUP($U16,Minimas!$C$3:$BO$11,4,FALSE)</f>
        <v>-63</v>
      </c>
      <c r="AD16" s="166">
        <f>$S16-HLOOKUP($U16,Minimas!$C$3:$BO$11,5,FALSE)</f>
        <v>-98</v>
      </c>
      <c r="AE16" s="166">
        <f>$S16-HLOOKUP($U16,Minimas!$C$3:$BO$11,6,FALSE)</f>
        <v>-126</v>
      </c>
      <c r="AF16" s="166">
        <f>$S16-HLOOKUP($U16,Minimas!$C$3:$BO$11,7,FALSE)</f>
        <v>-150</v>
      </c>
      <c r="AG16" s="166">
        <f>$S16-HLOOKUP($U16,Minimas!$C$3:$BO$11,8,FALSE)</f>
        <v>-210</v>
      </c>
      <c r="AH16" s="166">
        <f>$S16-HLOOKUP($U16,Minimas!$C$3:$BO$11,9,FALSE)</f>
        <v>-220</v>
      </c>
      <c r="AI16" s="166"/>
      <c r="AJ16" s="163" t="str">
        <f t="shared" si="1"/>
        <v>DEB</v>
      </c>
      <c r="AK16" s="163"/>
      <c r="AL16" s="163" t="str">
        <f t="shared" si="2"/>
        <v>DEB</v>
      </c>
      <c r="AM16" s="166">
        <f t="shared" si="3"/>
        <v>7</v>
      </c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</row>
    <row r="17" spans="1:123" s="5" customFormat="1" ht="34.950000000000003" customHeight="1" thickBot="1">
      <c r="B17" s="131"/>
      <c r="C17" s="75"/>
      <c r="D17" s="127"/>
      <c r="E17" s="76" t="s">
        <v>51</v>
      </c>
      <c r="F17" s="77"/>
      <c r="G17" s="78"/>
      <c r="H17" s="136">
        <f>SUM(V13:V17)</f>
        <v>1308.105527004921</v>
      </c>
      <c r="I17" s="76" t="s">
        <v>36</v>
      </c>
      <c r="J17" s="79">
        <v>72</v>
      </c>
      <c r="K17" s="80">
        <v>70</v>
      </c>
      <c r="L17" s="81"/>
      <c r="M17" s="82"/>
      <c r="N17" s="90">
        <f>IF(E17="","",IF(MAXA(K17:M17)&lt;=0,0,MAXA(K17:M17)))</f>
        <v>70</v>
      </c>
      <c r="O17" s="80">
        <v>90</v>
      </c>
      <c r="P17" s="81"/>
      <c r="Q17" s="82"/>
      <c r="R17" s="90">
        <f>IF(E17="","",IF(MAXA(O17:Q17)&lt;=0,0,MAXA(O17:Q17)))</f>
        <v>90</v>
      </c>
      <c r="S17" s="83">
        <f>IF(E17="","",N17+R17)</f>
        <v>160</v>
      </c>
      <c r="T17" s="84" t="str">
        <f>+CONCATENATE(AL17," ",AM17)</f>
        <v>IRG + 12</v>
      </c>
      <c r="U17" s="84" t="str">
        <f>IF(E17=0," ",IF(E17="H",IF(G17&lt;=SENIORS_Min,VLOOKUP(J17,Minimas!$A$15:$F$29,6),IF(AND(G17&gt;=U20_Min,G17&lt;=U20_Max),VLOOKUP(J17,Minimas!$A$15:$F$29,5),IF(AND(G17&gt;=U17_Min,G17&lt;=U17_Max),VLOOKUP(J17,Minimas!$A$15:$F$29,4),IF(AND(G17&gt;=U15_Min,G17&lt;=U15_Max),VLOOKUP(J17,Minimas!$A$15:$F$29,3),VLOOKUP(J17,Minimas!$A$15:$F$29,2))))),IF(G17&lt;=SENIORS_Min,VLOOKUP(J17,Minimas!$G$15:$L$29,6),IF(AND(G17&gt;=U20_Min,G17&lt;=U20_Max),VLOOKUP(J17,Minimas!$G$15:$L$29,5),IF(AND(G17&gt;=U17_Min,G17&lt;=U17_Max),VLOOKUP(J17,Minimas!$G$15:$L$29,4),IF(AND(G17&gt;=U15_Min,G17&lt;=U15_Max),VLOOKUP(J17,Minimas!$G$15:$L$29,3),VLOOKUP(J17,Minimas!$G$15:$L$29,2)))))))</f>
        <v>SE F77</v>
      </c>
      <c r="V17" s="85">
        <f t="shared" si="0"/>
        <v>292.18488429186294</v>
      </c>
      <c r="Z17" s="32"/>
      <c r="AA17" s="166">
        <f>$S17-HLOOKUP($U17,Minimas!$C$3:$BO$11,2,FALSE)</f>
        <v>80</v>
      </c>
      <c r="AB17" s="166">
        <f>$S17-HLOOKUP($U17,Minimas!$C$3:$BO$11,3,FALSE)</f>
        <v>57</v>
      </c>
      <c r="AC17" s="166">
        <f>$S17-HLOOKUP($U17,Minimas!$C$3:$BO$11,4,FALSE)</f>
        <v>35</v>
      </c>
      <c r="AD17" s="166">
        <f>$S17-HLOOKUP($U17,Minimas!$C$3:$BO$11,5,FALSE)</f>
        <v>12</v>
      </c>
      <c r="AE17" s="166">
        <f>$S17-HLOOKUP($U17,Minimas!$C$3:$BO$11,6,FALSE)</f>
        <v>-6</v>
      </c>
      <c r="AF17" s="166">
        <f>$S17-HLOOKUP($U17,Minimas!$C$3:$BO$11,7,FALSE)</f>
        <v>-22</v>
      </c>
      <c r="AG17" s="166">
        <f>$S17-HLOOKUP($U17,Minimas!$C$3:$BO$11,8,FALSE)</f>
        <v>-61</v>
      </c>
      <c r="AH17" s="166">
        <f>$S17-HLOOKUP($U17,Minimas!$C$3:$BO$11,9,FALSE)</f>
        <v>-68</v>
      </c>
      <c r="AI17" s="166"/>
      <c r="AJ17" s="163" t="str">
        <f t="shared" si="1"/>
        <v>IRG +</v>
      </c>
      <c r="AK17" s="163"/>
      <c r="AL17" s="163" t="str">
        <f t="shared" si="2"/>
        <v>IRG +</v>
      </c>
      <c r="AM17" s="166">
        <f t="shared" si="3"/>
        <v>12</v>
      </c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</row>
    <row r="18" spans="1:123" s="5" customFormat="1" ht="8.4" customHeight="1" thickBot="1">
      <c r="B18" s="96"/>
      <c r="C18" s="16"/>
      <c r="D18" s="97"/>
      <c r="E18" s="98"/>
      <c r="F18" s="99"/>
      <c r="G18" s="100"/>
      <c r="H18" s="98"/>
      <c r="I18" s="98"/>
      <c r="J18" s="101"/>
      <c r="K18" s="102"/>
      <c r="L18" s="102"/>
      <c r="M18" s="102"/>
      <c r="N18" s="103"/>
      <c r="O18" s="102"/>
      <c r="P18" s="102"/>
      <c r="Q18" s="102"/>
      <c r="R18" s="103"/>
      <c r="S18" s="104"/>
      <c r="T18" s="105"/>
      <c r="U18" s="105"/>
      <c r="V18" s="95"/>
      <c r="Z18" s="32"/>
      <c r="AA18" s="166" t="e">
        <f>$S18-HLOOKUP($U18,Minimas!$C$3:$BO$11,2,FALSE)</f>
        <v>#N/A</v>
      </c>
      <c r="AB18" s="166" t="e">
        <f>$S18-HLOOKUP($U18,Minimas!$C$3:$BO$11,3,FALSE)</f>
        <v>#N/A</v>
      </c>
      <c r="AC18" s="166" t="e">
        <f>$S18-HLOOKUP($U18,Minimas!$C$3:$BO$11,4,FALSE)</f>
        <v>#N/A</v>
      </c>
      <c r="AD18" s="166" t="e">
        <f>$S18-HLOOKUP($U18,Minimas!$C$3:$BO$11,5,FALSE)</f>
        <v>#N/A</v>
      </c>
      <c r="AE18" s="166" t="e">
        <f>$S18-HLOOKUP($U18,Minimas!$C$3:$BO$11,6,FALSE)</f>
        <v>#N/A</v>
      </c>
      <c r="AF18" s="166" t="e">
        <f>$S18-HLOOKUP($U18,Minimas!$C$3:$BO$11,7,FALSE)</f>
        <v>#N/A</v>
      </c>
      <c r="AG18" s="166" t="e">
        <f>$S18-HLOOKUP($U18,Minimas!$C$3:$BO$11,8,FALSE)</f>
        <v>#N/A</v>
      </c>
      <c r="AH18" s="166" t="e">
        <f>$S18-HLOOKUP($U18,Minimas!$C$3:$BO$11,9,FALSE)</f>
        <v>#N/A</v>
      </c>
      <c r="AI18" s="166"/>
      <c r="AJ18" s="163" t="str">
        <f t="shared" si="1"/>
        <v xml:space="preserve"> </v>
      </c>
      <c r="AK18" s="163"/>
      <c r="AL18" s="163" t="str">
        <f t="shared" si="2"/>
        <v xml:space="preserve"> </v>
      </c>
      <c r="AM18" s="166" t="str">
        <f t="shared" si="3"/>
        <v xml:space="preserve"> </v>
      </c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</row>
    <row r="19" spans="1:123" s="5" customFormat="1" ht="34.950000000000003" customHeight="1">
      <c r="B19" s="128" t="s">
        <v>53</v>
      </c>
      <c r="C19" s="53"/>
      <c r="D19" s="137">
        <f>IF(H22="","",RANK(H22,$Y$27:$Y$30,0))</f>
        <v>1</v>
      </c>
      <c r="E19" s="54" t="s">
        <v>51</v>
      </c>
      <c r="F19" s="55"/>
      <c r="G19" s="56"/>
      <c r="H19" s="132"/>
      <c r="I19" s="54"/>
      <c r="J19" s="57">
        <v>69</v>
      </c>
      <c r="K19" s="58">
        <v>90</v>
      </c>
      <c r="L19" s="59"/>
      <c r="M19" s="60"/>
      <c r="N19" s="88">
        <f>IF(E19="","",IF(MAXA(K19:M19)&lt;=0,0,MAXA(K19:M19)))</f>
        <v>90</v>
      </c>
      <c r="O19" s="58">
        <v>115</v>
      </c>
      <c r="P19" s="59"/>
      <c r="Q19" s="60"/>
      <c r="R19" s="88">
        <f>IF(E19="","",IF(MAXA(O19:Q19)&lt;=0,0,MAXA(O19:Q19)))</f>
        <v>115</v>
      </c>
      <c r="S19" s="61">
        <f>IF(E19="","",N19+R19)</f>
        <v>205</v>
      </c>
      <c r="T19" s="62" t="str">
        <f>+CONCATENATE(AL19," ",AM19)</f>
        <v>NAT + 29</v>
      </c>
      <c r="U19" s="62" t="str">
        <f>IF(E19=0," ",IF(E19="H",IF(G19&lt;=SENIORS_Min,VLOOKUP(J19,Minimas!$A$15:$F$29,6),IF(AND(G19&gt;=U20_Min,G19&lt;=U20_Max),VLOOKUP(J19,Minimas!$A$15:$F$29,5),IF(AND(G19&gt;=U17_Min,G19&lt;=U17_Max),VLOOKUP(J19,Minimas!$A$15:$F$29,4),IF(AND(G19&gt;=U15_Min,G19&lt;=U15_Max),VLOOKUP(J19,Minimas!$A$15:$F$29,3),VLOOKUP(J19,Minimas!$A$15:$F$29,2))))),IF(G19&lt;=SENIORS_Min,VLOOKUP(J19,Minimas!$G$15:$L$29,6),IF(AND(G19&gt;=U20_Min,G19&lt;=U20_Max),VLOOKUP(J19,Minimas!$G$15:$L$29,5),IF(AND(G19&gt;=U17_Min,G19&lt;=U17_Max),VLOOKUP(J19,Minimas!$G$15:$L$29,4),IF(AND(G19&gt;=U15_Min,G19&lt;=U15_Max),VLOOKUP(J19,Minimas!$G$15:$L$29,3),VLOOKUP(J19,Minimas!$G$15:$L$29,2)))))))</f>
        <v>SE F69</v>
      </c>
      <c r="V19" s="63">
        <f>IF(E19=" "," ",IF(E19="H",10^(0.722762521*LOG(J19/193.609)^2)*S19,IF(E19="F",10^(0.787004341* LOG(J19/153.757)^2)*S19*1.5,"")))</f>
        <v>382.9540961285461</v>
      </c>
      <c r="Z19" s="32"/>
      <c r="AA19" s="166">
        <f>$S19-HLOOKUP($U19,Minimas!$C$3:$BO$11,2,FALSE)</f>
        <v>128</v>
      </c>
      <c r="AB19" s="166">
        <f>$S19-HLOOKUP($U19,Minimas!$C$3:$BO$11,3,FALSE)</f>
        <v>106</v>
      </c>
      <c r="AC19" s="166">
        <f>$S19-HLOOKUP($U19,Minimas!$C$3:$BO$11,4,FALSE)</f>
        <v>84</v>
      </c>
      <c r="AD19" s="166">
        <f>$S19-HLOOKUP($U19,Minimas!$C$3:$BO$11,5,FALSE)</f>
        <v>62</v>
      </c>
      <c r="AE19" s="166">
        <f>$S19-HLOOKUP($U19,Minimas!$C$3:$BO$11,6,FALSE)</f>
        <v>44</v>
      </c>
      <c r="AF19" s="166">
        <f>$S19-HLOOKUP($U19,Minimas!$C$3:$BO$11,7,FALSE)</f>
        <v>29</v>
      </c>
      <c r="AG19" s="166">
        <f>$S19-HLOOKUP($U19,Minimas!$C$3:$BO$11,8,FALSE)</f>
        <v>-8</v>
      </c>
      <c r="AH19" s="166">
        <f>$S19-HLOOKUP($U19,Minimas!$C$3:$BO$11,9,FALSE)</f>
        <v>-15</v>
      </c>
      <c r="AI19" s="166"/>
      <c r="AJ19" s="163" t="str">
        <f t="shared" si="1"/>
        <v>NAT +</v>
      </c>
      <c r="AK19" s="163"/>
      <c r="AL19" s="163" t="str">
        <f t="shared" si="2"/>
        <v>NAT +</v>
      </c>
      <c r="AM19" s="166">
        <f t="shared" si="3"/>
        <v>29</v>
      </c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</row>
    <row r="20" spans="1:123" s="5" customFormat="1" ht="34.950000000000003" customHeight="1">
      <c r="B20" s="129"/>
      <c r="C20" s="64"/>
      <c r="D20" s="138"/>
      <c r="E20" s="65" t="s">
        <v>50</v>
      </c>
      <c r="F20" s="66"/>
      <c r="G20" s="67"/>
      <c r="H20" s="133"/>
      <c r="I20" s="65"/>
      <c r="J20" s="68">
        <v>65</v>
      </c>
      <c r="K20" s="69">
        <v>65</v>
      </c>
      <c r="L20" s="70"/>
      <c r="M20" s="71"/>
      <c r="N20" s="89">
        <f>IF(E20="","",IF(MAXA(K20:M20)&lt;=0,0,MAXA(K20:M20)))</f>
        <v>65</v>
      </c>
      <c r="O20" s="69">
        <v>80</v>
      </c>
      <c r="P20" s="70"/>
      <c r="Q20" s="71"/>
      <c r="R20" s="89">
        <f>IF(E20="","",IF(MAXA(O20:Q20)&lt;=0,0,MAXA(O20:Q20)))</f>
        <v>80</v>
      </c>
      <c r="S20" s="72">
        <f>IF(E20="","",N20+R20)</f>
        <v>145</v>
      </c>
      <c r="T20" s="73" t="str">
        <f>+CONCATENATE(AL20," ",AM20)</f>
        <v>DPT + 16</v>
      </c>
      <c r="U20" s="73" t="str">
        <f>IF(E20=0," ",IF(E20="H",IF(G20&lt;=SENIORS_Min,VLOOKUP(J20,Minimas!$A$15:$F$29,6),IF(AND(G20&gt;=U20_Min,G20&lt;=U20_Max),VLOOKUP(J20,Minimas!$A$15:$F$29,5),IF(AND(G20&gt;=U17_Min,G20&lt;=U17_Max),VLOOKUP(J20,Minimas!$A$15:$F$29,4),IF(AND(G20&gt;=U15_Min,G20&lt;=U15_Max),VLOOKUP(J20,Minimas!$A$15:$F$29,3),VLOOKUP(J20,Minimas!$A$15:$F$29,2))))),IF(G20&lt;=SENIORS_Min,VLOOKUP(J20,Minimas!$G$15:$L$29,6),IF(AND(G20&gt;=U20_Min,G20&lt;=U20_Max),VLOOKUP(J20,Minimas!$G$15:$L$29,5),IF(AND(G20&gt;=U17_Min,G20&lt;=U17_Max),VLOOKUP(J20,Minimas!$G$15:$L$29,4),IF(AND(G20&gt;=U15_Min,G20&lt;=U15_Max),VLOOKUP(J20,Minimas!$G$15:$L$29,3),VLOOKUP(J20,Minimas!$G$15:$L$29,2)))))))</f>
        <v>SE M65</v>
      </c>
      <c r="V20" s="74">
        <f t="shared" ref="V20:V23" si="6">IF(E20=" "," ",IF(E20="H",10^(0.722762521*LOG(J20/193.609)^2)*S20,IF(E20="F",10^(0.787004341* LOG(J20/153.757)^2)*S20*1.5,"")))</f>
        <v>210.7481366860238</v>
      </c>
      <c r="Z20" s="32"/>
      <c r="AA20" s="166">
        <f>$S20-HLOOKUP($U20,Minimas!$C$3:$BO$11,2,FALSE)</f>
        <v>45</v>
      </c>
      <c r="AB20" s="166">
        <f>$S20-HLOOKUP($U20,Minimas!$C$3:$BO$11,3,FALSE)</f>
        <v>16</v>
      </c>
      <c r="AC20" s="166">
        <f>$S20-HLOOKUP($U20,Minimas!$C$3:$BO$11,4,FALSE)</f>
        <v>-12</v>
      </c>
      <c r="AD20" s="166">
        <f>$S20-HLOOKUP($U20,Minimas!$C$3:$BO$11,5,FALSE)</f>
        <v>-41</v>
      </c>
      <c r="AE20" s="166">
        <f>$S20-HLOOKUP($U20,Minimas!$C$3:$BO$11,6,FALSE)</f>
        <v>-64</v>
      </c>
      <c r="AF20" s="166">
        <f>$S20-HLOOKUP($U20,Minimas!$C$3:$BO$11,7,FALSE)</f>
        <v>-84</v>
      </c>
      <c r="AG20" s="166">
        <f>$S20-HLOOKUP($U20,Minimas!$C$3:$BO$11,8,FALSE)</f>
        <v>-132</v>
      </c>
      <c r="AH20" s="166">
        <f>$S20-HLOOKUP($U20,Minimas!$C$3:$BO$11,9,FALSE)</f>
        <v>-141</v>
      </c>
      <c r="AI20" s="166"/>
      <c r="AJ20" s="163" t="str">
        <f t="shared" si="1"/>
        <v>DPT +</v>
      </c>
      <c r="AK20" s="163"/>
      <c r="AL20" s="163" t="str">
        <f t="shared" si="2"/>
        <v>DPT +</v>
      </c>
      <c r="AM20" s="166">
        <f t="shared" si="3"/>
        <v>16</v>
      </c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</row>
    <row r="21" spans="1:123" s="5" customFormat="1" ht="34.950000000000003" customHeight="1">
      <c r="B21" s="130"/>
      <c r="C21" s="64"/>
      <c r="D21" s="138"/>
      <c r="E21" s="65" t="s">
        <v>51</v>
      </c>
      <c r="F21" s="66"/>
      <c r="G21" s="67"/>
      <c r="H21" s="134"/>
      <c r="I21" s="65"/>
      <c r="J21" s="68">
        <v>62</v>
      </c>
      <c r="K21" s="69">
        <v>70</v>
      </c>
      <c r="L21" s="70"/>
      <c r="M21" s="71"/>
      <c r="N21" s="89">
        <f>IF(E21="","",IF(MAXA(K21:M21)&lt;=0,0,MAXA(K21:M21)))</f>
        <v>70</v>
      </c>
      <c r="O21" s="69">
        <v>90</v>
      </c>
      <c r="P21" s="70"/>
      <c r="Q21" s="71"/>
      <c r="R21" s="89">
        <f>IF(E21="","",IF(MAXA(O21:Q21)&lt;=0,0,MAXA(O21:Q21)))</f>
        <v>90</v>
      </c>
      <c r="S21" s="72">
        <f>IF(E21="","",N21+R21)</f>
        <v>160</v>
      </c>
      <c r="T21" s="73" t="str">
        <f t="shared" ref="T21:T22" si="7">+CONCATENATE(AL21," ",AM21)</f>
        <v>HON + 6</v>
      </c>
      <c r="U21" s="73" t="str">
        <f>IF(E21=0," ",IF(E21="H",IF(G21&lt;=SENIORS_Min,VLOOKUP(J21,Minimas!$A$15:$F$29,6),IF(AND(G21&gt;=U20_Min,G21&lt;=U20_Max),VLOOKUP(J21,Minimas!$A$15:$F$29,5),IF(AND(G21&gt;=U17_Min,G21&lt;=U17_Max),VLOOKUP(J21,Minimas!$A$15:$F$29,4),IF(AND(G21&gt;=U15_Min,G21&lt;=U15_Max),VLOOKUP(J21,Minimas!$A$15:$F$29,3),VLOOKUP(J21,Minimas!$A$15:$F$29,2))))),IF(G21&lt;=SENIORS_Min,VLOOKUP(J21,Minimas!$G$15:$L$29,6),IF(AND(G21&gt;=U20_Min,G21&lt;=U20_Max),VLOOKUP(J21,Minimas!$G$15:$L$29,5),IF(AND(G21&gt;=U17_Min,G21&lt;=U17_Max),VLOOKUP(J21,Minimas!$G$15:$L$29,4),IF(AND(G21&gt;=U15_Min,G21&lt;=U15_Max),VLOOKUP(J21,Minimas!$G$15:$L$29,3),VLOOKUP(J21,Minimas!$G$15:$L$29,2)))))))</f>
        <v>SE F63</v>
      </c>
      <c r="V21" s="74">
        <f t="shared" si="6"/>
        <v>318.16885227878356</v>
      </c>
      <c r="Z21" s="32"/>
      <c r="AA21" s="166">
        <f>$S21-HLOOKUP($U21,Minimas!$C$3:$BO$11,2,FALSE)</f>
        <v>86</v>
      </c>
      <c r="AB21" s="166">
        <f>$S21-HLOOKUP($U21,Minimas!$C$3:$BO$11,3,FALSE)</f>
        <v>65</v>
      </c>
      <c r="AC21" s="166">
        <f>$S21-HLOOKUP($U21,Minimas!$C$3:$BO$11,4,FALSE)</f>
        <v>44</v>
      </c>
      <c r="AD21" s="166">
        <f>$S21-HLOOKUP($U21,Minimas!$C$3:$BO$11,5,FALSE)</f>
        <v>23</v>
      </c>
      <c r="AE21" s="166">
        <f>$S21-HLOOKUP($U21,Minimas!$C$3:$BO$11,6,FALSE)</f>
        <v>6</v>
      </c>
      <c r="AF21" s="166">
        <f>$S21-HLOOKUP($U21,Minimas!$C$3:$BO$11,7,FALSE)</f>
        <v>-9</v>
      </c>
      <c r="AG21" s="166">
        <f>$S21-HLOOKUP($U21,Minimas!$C$3:$BO$11,8,FALSE)</f>
        <v>-45</v>
      </c>
      <c r="AH21" s="166">
        <f>$S21-HLOOKUP($U21,Minimas!$C$3:$BO$11,9,FALSE)</f>
        <v>-51</v>
      </c>
      <c r="AI21" s="166"/>
      <c r="AJ21" s="163" t="str">
        <f t="shared" si="1"/>
        <v>HON +</v>
      </c>
      <c r="AK21" s="163"/>
      <c r="AL21" s="163" t="str">
        <f t="shared" si="2"/>
        <v>HON +</v>
      </c>
      <c r="AM21" s="166">
        <f t="shared" si="3"/>
        <v>6</v>
      </c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</row>
    <row r="22" spans="1:123" s="5" customFormat="1" ht="34.950000000000003" customHeight="1">
      <c r="B22" s="130"/>
      <c r="C22" s="64"/>
      <c r="D22" s="138"/>
      <c r="E22" s="65" t="s">
        <v>50</v>
      </c>
      <c r="F22" s="66"/>
      <c r="G22" s="67"/>
      <c r="H22" s="135">
        <f>SUM(V19:V23)</f>
        <v>1367.949121846772</v>
      </c>
      <c r="I22" s="65" t="s">
        <v>36</v>
      </c>
      <c r="J22" s="68">
        <v>82</v>
      </c>
      <c r="K22" s="69">
        <v>55</v>
      </c>
      <c r="L22" s="70"/>
      <c r="M22" s="71"/>
      <c r="N22" s="89">
        <f>IF(E22="","",IF(MAXA(K22:M22)&lt;=0,0,MAXA(K22:M22)))</f>
        <v>55</v>
      </c>
      <c r="O22" s="69">
        <v>75</v>
      </c>
      <c r="P22" s="70"/>
      <c r="Q22" s="71"/>
      <c r="R22" s="89">
        <f>IF(E22="","",IF(MAXA(O22:Q22)&lt;=0,0,MAXA(O22:Q22)))</f>
        <v>75</v>
      </c>
      <c r="S22" s="72">
        <f>IF(E22="","",N22+R22)</f>
        <v>130</v>
      </c>
      <c r="T22" s="73" t="str">
        <f t="shared" si="7"/>
        <v>DEB 7</v>
      </c>
      <c r="U22" s="73" t="str">
        <f>IF(E22=0," ",IF(E22="H",IF(G22&lt;=SENIORS_Min,VLOOKUP(J22,Minimas!$A$15:$F$29,6),IF(AND(G22&gt;=U20_Min,G22&lt;=U20_Max),VLOOKUP(J22,Minimas!$A$15:$F$29,5),IF(AND(G22&gt;=U17_Min,G22&lt;=U17_Max),VLOOKUP(J22,Minimas!$A$15:$F$29,4),IF(AND(G22&gt;=U15_Min,G22&lt;=U15_Max),VLOOKUP(J22,Minimas!$A$15:$F$29,3),VLOOKUP(J22,Minimas!$A$15:$F$29,2))))),IF(G22&lt;=SENIORS_Min,VLOOKUP(J22,Minimas!$G$15:$L$29,6),IF(AND(G22&gt;=U20_Min,G22&lt;=U20_Max),VLOOKUP(J22,Minimas!$G$15:$L$29,5),IF(AND(G22&gt;=U17_Min,G22&lt;=U17_Max),VLOOKUP(J22,Minimas!$G$15:$L$29,4),IF(AND(G22&gt;=U15_Min,G22&lt;=U15_Max),VLOOKUP(J22,Minimas!$G$15:$L$29,3),VLOOKUP(J22,Minimas!$G$15:$L$29,2)))))))</f>
        <v>SE M88</v>
      </c>
      <c r="V22" s="74">
        <f t="shared" si="6"/>
        <v>163.89315246155539</v>
      </c>
      <c r="Z22" s="32"/>
      <c r="AA22" s="166">
        <f>$S22-HLOOKUP($U22,Minimas!$C$3:$BO$11,2,FALSE)</f>
        <v>7</v>
      </c>
      <c r="AB22" s="166">
        <f>$S22-HLOOKUP($U22,Minimas!$C$3:$BO$11,3,FALSE)</f>
        <v>-28</v>
      </c>
      <c r="AC22" s="166">
        <f>$S22-HLOOKUP($U22,Minimas!$C$3:$BO$11,4,FALSE)</f>
        <v>-63</v>
      </c>
      <c r="AD22" s="166">
        <f>$S22-HLOOKUP($U22,Minimas!$C$3:$BO$11,5,FALSE)</f>
        <v>-98</v>
      </c>
      <c r="AE22" s="166">
        <f>$S22-HLOOKUP($U22,Minimas!$C$3:$BO$11,6,FALSE)</f>
        <v>-126</v>
      </c>
      <c r="AF22" s="166">
        <f>$S22-HLOOKUP($U22,Minimas!$C$3:$BO$11,7,FALSE)</f>
        <v>-150</v>
      </c>
      <c r="AG22" s="166">
        <f>$S22-HLOOKUP($U22,Minimas!$C$3:$BO$11,8,FALSE)</f>
        <v>-210</v>
      </c>
      <c r="AH22" s="166">
        <f>$S22-HLOOKUP($U22,Minimas!$C$3:$BO$11,9,FALSE)</f>
        <v>-220</v>
      </c>
      <c r="AI22" s="166"/>
      <c r="AJ22" s="163" t="str">
        <f t="shared" si="1"/>
        <v>DEB</v>
      </c>
      <c r="AK22" s="163"/>
      <c r="AL22" s="163" t="str">
        <f t="shared" si="2"/>
        <v>DEB</v>
      </c>
      <c r="AM22" s="166">
        <f t="shared" si="3"/>
        <v>7</v>
      </c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</row>
    <row r="23" spans="1:123" s="5" customFormat="1" ht="34.950000000000003" customHeight="1" thickBot="1">
      <c r="B23" s="131"/>
      <c r="C23" s="75"/>
      <c r="D23" s="139"/>
      <c r="E23" s="76" t="s">
        <v>51</v>
      </c>
      <c r="F23" s="77"/>
      <c r="G23" s="78"/>
      <c r="H23" s="136">
        <f>SUM(V19:V23)</f>
        <v>1367.949121846772</v>
      </c>
      <c r="I23" s="76" t="s">
        <v>36</v>
      </c>
      <c r="J23" s="79">
        <v>72</v>
      </c>
      <c r="K23" s="80">
        <v>70</v>
      </c>
      <c r="L23" s="81"/>
      <c r="M23" s="82"/>
      <c r="N23" s="90">
        <f>IF(E23="","",IF(MAXA(K23:M23)&lt;=0,0,MAXA(K23:M23)))</f>
        <v>70</v>
      </c>
      <c r="O23" s="80">
        <v>90</v>
      </c>
      <c r="P23" s="81"/>
      <c r="Q23" s="82"/>
      <c r="R23" s="90">
        <f>IF(E23="","",IF(MAXA(O23:Q23)&lt;=0,0,MAXA(O23:Q23)))</f>
        <v>90</v>
      </c>
      <c r="S23" s="83">
        <f>IF(E23="","",N23+R23)</f>
        <v>160</v>
      </c>
      <c r="T23" s="84" t="str">
        <f>+CONCATENATE(AL23," ",AM23)</f>
        <v>IRG + 12</v>
      </c>
      <c r="U23" s="84" t="str">
        <f>IF(E23=0," ",IF(E23="H",IF(G23&lt;=SENIORS_Min,VLOOKUP(J23,Minimas!$A$15:$F$29,6),IF(AND(G23&gt;=U20_Min,G23&lt;=U20_Max),VLOOKUP(J23,Minimas!$A$15:$F$29,5),IF(AND(G23&gt;=U17_Min,G23&lt;=U17_Max),VLOOKUP(J23,Minimas!$A$15:$F$29,4),IF(AND(G23&gt;=U15_Min,G23&lt;=U15_Max),VLOOKUP(J23,Minimas!$A$15:$F$29,3),VLOOKUP(J23,Minimas!$A$15:$F$29,2))))),IF(G23&lt;=SENIORS_Min,VLOOKUP(J23,Minimas!$G$15:$L$29,6),IF(AND(G23&gt;=U20_Min,G23&lt;=U20_Max),VLOOKUP(J23,Minimas!$G$15:$L$29,5),IF(AND(G23&gt;=U17_Min,G23&lt;=U17_Max),VLOOKUP(J23,Minimas!$G$15:$L$29,4),IF(AND(G23&gt;=U15_Min,G23&lt;=U15_Max),VLOOKUP(J23,Minimas!$G$15:$L$29,3),VLOOKUP(J23,Minimas!$G$15:$L$29,2)))))))</f>
        <v>SE F77</v>
      </c>
      <c r="V23" s="85">
        <f t="shared" si="6"/>
        <v>292.18488429186294</v>
      </c>
      <c r="Z23" s="32"/>
      <c r="AA23" s="166">
        <f>$S23-HLOOKUP($U23,Minimas!$C$3:$BO$11,2,FALSE)</f>
        <v>80</v>
      </c>
      <c r="AB23" s="166">
        <f>$S23-HLOOKUP($U23,Minimas!$C$3:$BO$11,3,FALSE)</f>
        <v>57</v>
      </c>
      <c r="AC23" s="166">
        <f>$S23-HLOOKUP($U23,Minimas!$C$3:$BO$11,4,FALSE)</f>
        <v>35</v>
      </c>
      <c r="AD23" s="166">
        <f>$S23-HLOOKUP($U23,Minimas!$C$3:$BO$11,5,FALSE)</f>
        <v>12</v>
      </c>
      <c r="AE23" s="166">
        <f>$S23-HLOOKUP($U23,Minimas!$C$3:$BO$11,6,FALSE)</f>
        <v>-6</v>
      </c>
      <c r="AF23" s="166">
        <f>$S23-HLOOKUP($U23,Minimas!$C$3:$BO$11,7,FALSE)</f>
        <v>-22</v>
      </c>
      <c r="AG23" s="166">
        <f>$S23-HLOOKUP($U23,Minimas!$C$3:$BO$11,8,FALSE)</f>
        <v>-61</v>
      </c>
      <c r="AH23" s="166">
        <f>$S23-HLOOKUP($U23,Minimas!$C$3:$BO$11,9,FALSE)</f>
        <v>-68</v>
      </c>
      <c r="AI23" s="166"/>
      <c r="AJ23" s="163" t="str">
        <f t="shared" si="1"/>
        <v>IRG +</v>
      </c>
      <c r="AK23" s="163"/>
      <c r="AL23" s="163" t="str">
        <f t="shared" si="2"/>
        <v>IRG +</v>
      </c>
      <c r="AM23" s="166">
        <f t="shared" si="3"/>
        <v>12</v>
      </c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</row>
    <row r="24" spans="1:123" s="5" customFormat="1" ht="9" customHeight="1">
      <c r="B24" s="96"/>
      <c r="C24" s="16"/>
      <c r="D24" s="97"/>
      <c r="E24" s="98"/>
      <c r="F24" s="99"/>
      <c r="G24" s="100"/>
      <c r="H24" s="101"/>
      <c r="I24" s="98"/>
      <c r="J24" s="101"/>
      <c r="K24" s="102"/>
      <c r="L24" s="102"/>
      <c r="M24" s="102"/>
      <c r="N24" s="103"/>
      <c r="O24" s="102"/>
      <c r="P24" s="102"/>
      <c r="Q24" s="102"/>
      <c r="R24" s="103"/>
      <c r="S24" s="104"/>
      <c r="T24" s="105"/>
      <c r="U24" s="105"/>
      <c r="V24" s="172"/>
      <c r="Z24" s="32"/>
      <c r="AA24" s="166" t="e">
        <f>$S24-HLOOKUP($U24,Minimas!$C$3:$BO$11,2,FALSE)</f>
        <v>#N/A</v>
      </c>
      <c r="AB24" s="166" t="e">
        <f>$S24-HLOOKUP($U24,Minimas!$C$3:$BO$11,3,FALSE)</f>
        <v>#N/A</v>
      </c>
      <c r="AC24" s="166" t="e">
        <f>$S24-HLOOKUP($U24,Minimas!$C$3:$BO$11,4,FALSE)</f>
        <v>#N/A</v>
      </c>
      <c r="AD24" s="166" t="e">
        <f>$S24-HLOOKUP($U24,Minimas!$C$3:$BO$11,5,FALSE)</f>
        <v>#N/A</v>
      </c>
      <c r="AE24" s="166" t="e">
        <f>$S24-HLOOKUP($U24,Minimas!$C$3:$BO$11,6,FALSE)</f>
        <v>#N/A</v>
      </c>
      <c r="AF24" s="166" t="e">
        <f>$S24-HLOOKUP($U24,Minimas!$C$3:$BO$11,7,FALSE)</f>
        <v>#N/A</v>
      </c>
      <c r="AG24" s="166" t="e">
        <f>$S24-HLOOKUP($U24,Minimas!$C$3:$BO$11,8,FALSE)</f>
        <v>#N/A</v>
      </c>
      <c r="AH24" s="166" t="e">
        <f>$S24-HLOOKUP($U24,Minimas!$C$3:$BO$11,9,FALSE)</f>
        <v>#N/A</v>
      </c>
      <c r="AI24" s="166"/>
      <c r="AJ24" s="163" t="str">
        <f t="shared" si="1"/>
        <v xml:space="preserve"> </v>
      </c>
      <c r="AK24" s="163"/>
      <c r="AL24" s="163" t="str">
        <f t="shared" si="2"/>
        <v xml:space="preserve"> </v>
      </c>
      <c r="AM24" s="166" t="str">
        <f t="shared" si="3"/>
        <v xml:space="preserve"> </v>
      </c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</row>
    <row r="25" spans="1:123" s="8" customFormat="1" ht="5.0999999999999996" customHeight="1">
      <c r="A25" s="7"/>
      <c r="B25" s="173"/>
      <c r="C25" s="174"/>
      <c r="D25" s="175"/>
      <c r="E25" s="176"/>
      <c r="F25" s="177"/>
      <c r="G25" s="178"/>
      <c r="H25" s="179"/>
      <c r="I25" s="180"/>
      <c r="J25" s="181"/>
      <c r="K25" s="182"/>
      <c r="L25" s="182"/>
      <c r="M25" s="182"/>
      <c r="N25" s="183"/>
      <c r="O25" s="182"/>
      <c r="P25" s="182"/>
      <c r="Q25" s="182"/>
      <c r="R25" s="183"/>
      <c r="S25" s="183"/>
      <c r="T25" s="184"/>
      <c r="U25" s="184"/>
      <c r="V25" s="185"/>
      <c r="W25" s="6"/>
      <c r="X25" s="6"/>
      <c r="Y25" s="6"/>
      <c r="Z25" s="30"/>
      <c r="AA25" s="166" t="e">
        <f>$S25-HLOOKUP($U25,Minimas!$C$3:$BO$11,2,FALSE)</f>
        <v>#N/A</v>
      </c>
      <c r="AB25" s="166" t="e">
        <f>$S25-HLOOKUP($U25,Minimas!$C$3:$BO$11,3,FALSE)</f>
        <v>#N/A</v>
      </c>
      <c r="AC25" s="166" t="e">
        <f>$S25-HLOOKUP($U25,Minimas!$C$3:$BO$11,4,FALSE)</f>
        <v>#N/A</v>
      </c>
      <c r="AD25" s="166" t="e">
        <f>$S25-HLOOKUP($U25,Minimas!$C$3:$BO$11,5,FALSE)</f>
        <v>#N/A</v>
      </c>
      <c r="AE25" s="166" t="e">
        <f>$S25-HLOOKUP($U25,Minimas!$C$3:$BO$11,6,FALSE)</f>
        <v>#N/A</v>
      </c>
      <c r="AF25" s="166" t="e">
        <f>$S25-HLOOKUP($U25,Minimas!$C$3:$BO$11,7,FALSE)</f>
        <v>#N/A</v>
      </c>
      <c r="AG25" s="166" t="e">
        <f>$S25-HLOOKUP($U25,Minimas!$C$3:$BO$11,8,FALSE)</f>
        <v>#N/A</v>
      </c>
      <c r="AH25" s="166" t="e">
        <f>$S25-HLOOKUP($U25,Minimas!$C$3:$BO$11,9,FALSE)</f>
        <v>#N/A</v>
      </c>
      <c r="AI25" s="166"/>
      <c r="AJ25" s="163" t="str">
        <f t="shared" si="1"/>
        <v xml:space="preserve"> </v>
      </c>
      <c r="AK25" s="163"/>
      <c r="AL25" s="163" t="str">
        <f t="shared" si="2"/>
        <v xml:space="preserve"> </v>
      </c>
      <c r="AM25" s="166" t="str">
        <f t="shared" si="3"/>
        <v xml:space="preserve"> </v>
      </c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</row>
    <row r="26" spans="1:123" s="11" customFormat="1" ht="10.199999999999999" customHeight="1">
      <c r="O26" s="10"/>
    </row>
    <row r="27" spans="1:123" ht="15.6">
      <c r="F27" s="118" t="s">
        <v>56</v>
      </c>
      <c r="K27" s="167"/>
      <c r="L27" s="168" t="s">
        <v>57</v>
      </c>
      <c r="M27" s="169"/>
      <c r="N27" s="169"/>
      <c r="O27" s="169"/>
      <c r="Y27" s="112">
        <f>H10</f>
        <v>1347.9246196142831</v>
      </c>
    </row>
    <row r="28" spans="1:123" ht="15.6">
      <c r="J28" s="119" t="s">
        <v>58</v>
      </c>
      <c r="K28" s="170"/>
      <c r="L28" s="168" t="s">
        <v>59</v>
      </c>
      <c r="M28" s="169"/>
      <c r="N28" s="169"/>
      <c r="O28" s="169"/>
      <c r="Y28" s="112">
        <f>H16</f>
        <v>1308.105527004921</v>
      </c>
    </row>
    <row r="29" spans="1:123" ht="17.399999999999999">
      <c r="K29" s="171"/>
      <c r="L29" s="168" t="s">
        <v>60</v>
      </c>
      <c r="M29" s="169"/>
      <c r="N29" s="169"/>
      <c r="O29" s="169"/>
      <c r="Y29" s="112">
        <f>H22</f>
        <v>1367.949121846772</v>
      </c>
    </row>
    <row r="30" spans="1:123" ht="13.8">
      <c r="Y30" s="112" t="s">
        <v>52</v>
      </c>
    </row>
    <row r="31" spans="1:123" ht="13.8">
      <c r="Y31" s="113" t="e">
        <f>#REF!</f>
        <v>#REF!</v>
      </c>
    </row>
    <row r="32" spans="1:123" ht="13.8">
      <c r="Y32" s="112" t="s">
        <v>52</v>
      </c>
    </row>
  </sheetData>
  <mergeCells count="19">
    <mergeCell ref="B19:B23"/>
    <mergeCell ref="D19:D23"/>
    <mergeCell ref="H19:H21"/>
    <mergeCell ref="H22:H23"/>
    <mergeCell ref="B7:B11"/>
    <mergeCell ref="D7:D11"/>
    <mergeCell ref="H7:H9"/>
    <mergeCell ref="H10:H11"/>
    <mergeCell ref="B13:B17"/>
    <mergeCell ref="D13:D17"/>
    <mergeCell ref="H13:H15"/>
    <mergeCell ref="H16:H17"/>
    <mergeCell ref="E2:H3"/>
    <mergeCell ref="J2:K2"/>
    <mergeCell ref="M2:R2"/>
    <mergeCell ref="U2:V2"/>
    <mergeCell ref="J3:K3"/>
    <mergeCell ref="M3:R3"/>
    <mergeCell ref="U3:V3"/>
  </mergeCells>
  <conditionalFormatting sqref="E1 E4:E1048576">
    <cfRule type="cellIs" dxfId="4" priority="3" operator="equal">
      <formula>"F"</formula>
    </cfRule>
  </conditionalFormatting>
  <conditionalFormatting sqref="J28">
    <cfRule type="cellIs" dxfId="3" priority="1" stopIfTrue="1" operator="lessThan">
      <formula>0</formula>
    </cfRule>
  </conditionalFormatting>
  <conditionalFormatting sqref="K7:M25">
    <cfRule type="cellIs" dxfId="2" priority="4" operator="lessThan">
      <formula>0</formula>
    </cfRule>
  </conditionalFormatting>
  <conditionalFormatting sqref="K27:O29">
    <cfRule type="cellIs" dxfId="1" priority="2" stopIfTrue="1" operator="lessThan">
      <formula>0</formula>
    </cfRule>
  </conditionalFormatting>
  <conditionalFormatting sqref="O7:Q25">
    <cfRule type="cellIs" dxfId="0" priority="5" operator="lessThan">
      <formula>0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2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05F6-EBE9-4298-9D3E-3BDCA2676CAD}">
  <sheetPr>
    <pageSetUpPr fitToPage="1"/>
  </sheetPr>
  <dimension ref="A1:DS37"/>
  <sheetViews>
    <sheetView topLeftCell="C13" zoomScale="102" zoomScaleNormal="102" workbookViewId="0">
      <selection activeCell="E33" sqref="E33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5" width="6.6640625" style="1" customWidth="1"/>
    <col min="6" max="6" width="50.6640625" style="1" customWidth="1"/>
    <col min="7" max="7" width="5.6640625" style="1" customWidth="1"/>
    <col min="8" max="8" width="25.6640625" style="1" customWidth="1"/>
    <col min="9" max="9" width="5.6640625" style="2" bestFit="1" customWidth="1"/>
    <col min="10" max="10" width="10.77734375" style="1" customWidth="1"/>
    <col min="11" max="11" width="10.109375" style="1" customWidth="1"/>
    <col min="12" max="13" width="9.33203125" style="1" customWidth="1"/>
    <col min="14" max="14" width="9.33203125" style="3" customWidth="1"/>
    <col min="15" max="17" width="9.33203125" style="1" customWidth="1"/>
    <col min="18" max="19" width="9.33203125" style="3" customWidth="1"/>
    <col min="20" max="20" width="13.5546875" style="4" bestFit="1" customWidth="1"/>
    <col min="21" max="21" width="12" style="1" bestFit="1" customWidth="1"/>
    <col min="22" max="22" width="9.88671875" style="1" customWidth="1"/>
    <col min="23" max="23" width="1.6640625" style="1" customWidth="1"/>
    <col min="24" max="25" width="11.44140625" style="1" customWidth="1"/>
    <col min="26" max="38" width="11.44140625" style="28" hidden="1" customWidth="1"/>
    <col min="39" max="39" width="5.5546875" style="28" hidden="1" customWidth="1"/>
    <col min="40" max="40" width="11.44140625" style="28" hidden="1" customWidth="1"/>
    <col min="41" max="41" width="11.44140625" style="28" customWidth="1"/>
    <col min="42" max="123" width="11.44140625" style="28"/>
    <col min="124" max="16384" width="11.44140625" style="1"/>
  </cols>
  <sheetData>
    <row r="1" spans="1:123" ht="5.0999999999999996" customHeight="1"/>
    <row r="2" spans="1:123" s="9" customFormat="1" ht="30" customHeight="1">
      <c r="D2" s="117" t="s">
        <v>52</v>
      </c>
      <c r="E2" s="120" t="s">
        <v>55</v>
      </c>
      <c r="F2" s="120"/>
      <c r="G2" s="120"/>
      <c r="H2" s="120"/>
      <c r="I2" s="114"/>
      <c r="J2" s="122" t="s">
        <v>40</v>
      </c>
      <c r="K2" s="122"/>
      <c r="M2" s="122" t="s">
        <v>6</v>
      </c>
      <c r="N2" s="122"/>
      <c r="O2" s="122"/>
      <c r="P2" s="122"/>
      <c r="Q2" s="122"/>
      <c r="R2" s="122"/>
      <c r="U2" s="122" t="s">
        <v>15</v>
      </c>
      <c r="V2" s="122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</row>
    <row r="3" spans="1:123" s="9" customFormat="1" ht="30" customHeight="1">
      <c r="D3" s="117"/>
      <c r="E3" s="121"/>
      <c r="F3" s="121"/>
      <c r="G3" s="121"/>
      <c r="H3" s="121"/>
      <c r="I3" s="114"/>
      <c r="J3" s="125" t="s">
        <v>54</v>
      </c>
      <c r="K3" s="125"/>
      <c r="L3" s="115"/>
      <c r="M3" s="123" t="s">
        <v>52</v>
      </c>
      <c r="N3" s="123"/>
      <c r="O3" s="123"/>
      <c r="P3" s="123"/>
      <c r="Q3" s="123"/>
      <c r="R3" s="123"/>
      <c r="S3" s="116"/>
      <c r="T3" s="116"/>
      <c r="U3" s="124">
        <v>45976</v>
      </c>
      <c r="V3" s="124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</row>
    <row r="4" spans="1:123" s="8" customFormat="1" ht="20.399999999999999" customHeight="1">
      <c r="A4" s="7"/>
      <c r="B4" s="14"/>
      <c r="C4" s="7"/>
      <c r="D4" s="15"/>
      <c r="E4" s="15"/>
      <c r="F4" s="16"/>
      <c r="G4" s="18"/>
      <c r="H4" s="19"/>
      <c r="I4" s="20"/>
      <c r="J4" s="21"/>
      <c r="K4" s="22"/>
      <c r="L4" s="22"/>
      <c r="M4" s="22"/>
      <c r="N4" s="23"/>
      <c r="O4" s="22"/>
      <c r="P4" s="22"/>
      <c r="Q4" s="22"/>
      <c r="R4" s="23"/>
      <c r="S4" s="23"/>
      <c r="T4" s="24"/>
      <c r="U4" s="16"/>
      <c r="V4" s="16"/>
      <c r="W4" s="6"/>
      <c r="X4" s="6"/>
      <c r="Y4" s="6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</row>
    <row r="5" spans="1:123" s="13" customFormat="1" ht="18" customHeight="1">
      <c r="A5" s="12"/>
      <c r="B5" s="91" t="s">
        <v>9</v>
      </c>
      <c r="C5" s="92" t="s">
        <v>10</v>
      </c>
      <c r="D5" s="92" t="s">
        <v>7</v>
      </c>
      <c r="E5" s="92" t="s">
        <v>35</v>
      </c>
      <c r="F5" s="92" t="s">
        <v>0</v>
      </c>
      <c r="G5" s="92" t="s">
        <v>12</v>
      </c>
      <c r="H5" s="92" t="s">
        <v>11</v>
      </c>
      <c r="I5" s="93" t="s">
        <v>5</v>
      </c>
      <c r="J5" s="93" t="s">
        <v>1</v>
      </c>
      <c r="K5" s="52">
        <v>1</v>
      </c>
      <c r="L5" s="52">
        <v>2</v>
      </c>
      <c r="M5" s="52">
        <v>3</v>
      </c>
      <c r="N5" s="93" t="s">
        <v>13</v>
      </c>
      <c r="O5" s="52">
        <v>1</v>
      </c>
      <c r="P5" s="52">
        <v>2</v>
      </c>
      <c r="Q5" s="52">
        <v>3</v>
      </c>
      <c r="R5" s="93" t="s">
        <v>14</v>
      </c>
      <c r="S5" s="93" t="s">
        <v>2</v>
      </c>
      <c r="T5" s="93" t="s">
        <v>3</v>
      </c>
      <c r="U5" s="93" t="s">
        <v>8</v>
      </c>
      <c r="V5" s="94" t="s">
        <v>4</v>
      </c>
      <c r="W5" s="12"/>
      <c r="X5" s="12"/>
      <c r="Y5" s="12"/>
      <c r="Z5" s="31"/>
      <c r="AA5" s="163" t="s">
        <v>38</v>
      </c>
      <c r="AB5" s="163" t="s">
        <v>37</v>
      </c>
      <c r="AC5" s="163" t="s">
        <v>29</v>
      </c>
      <c r="AD5" s="163" t="s">
        <v>30</v>
      </c>
      <c r="AE5" s="163" t="s">
        <v>128</v>
      </c>
      <c r="AF5" s="163" t="s">
        <v>32</v>
      </c>
      <c r="AG5" s="163" t="s">
        <v>129</v>
      </c>
      <c r="AH5" s="163" t="s">
        <v>130</v>
      </c>
      <c r="AI5" s="37"/>
      <c r="AJ5" s="164"/>
      <c r="AK5" s="164"/>
      <c r="AL5" s="164"/>
      <c r="AM5" s="164"/>
      <c r="AN5" s="164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</row>
    <row r="6" spans="1:123" s="8" customFormat="1" ht="5.0999999999999996" customHeight="1" thickBot="1">
      <c r="A6" s="7"/>
      <c r="B6" s="14"/>
      <c r="C6" s="7"/>
      <c r="D6" s="16"/>
      <c r="E6" s="16"/>
      <c r="F6" s="17"/>
      <c r="G6" s="20"/>
      <c r="H6" s="19"/>
      <c r="I6" s="15"/>
      <c r="J6" s="21"/>
      <c r="K6" s="22"/>
      <c r="L6" s="22"/>
      <c r="M6" s="22"/>
      <c r="N6" s="23"/>
      <c r="O6" s="22"/>
      <c r="P6" s="22"/>
      <c r="Q6" s="22"/>
      <c r="R6" s="23"/>
      <c r="S6" s="23"/>
      <c r="T6" s="23"/>
      <c r="U6" s="23"/>
      <c r="V6" s="23"/>
      <c r="W6" s="6"/>
      <c r="X6" s="6"/>
      <c r="Y6" s="6"/>
      <c r="Z6" s="30"/>
      <c r="AA6" s="165" t="s">
        <v>27</v>
      </c>
      <c r="AB6" s="165" t="s">
        <v>28</v>
      </c>
      <c r="AC6" s="165" t="s">
        <v>29</v>
      </c>
      <c r="AD6" s="165" t="s">
        <v>30</v>
      </c>
      <c r="AE6" s="165" t="s">
        <v>31</v>
      </c>
      <c r="AF6" s="165" t="s">
        <v>32</v>
      </c>
      <c r="AG6" s="165" t="s">
        <v>33</v>
      </c>
      <c r="AH6" s="165" t="s">
        <v>34</v>
      </c>
      <c r="AI6" s="37"/>
      <c r="AJ6" s="165"/>
      <c r="AK6" s="165"/>
      <c r="AL6" s="165"/>
      <c r="AM6" s="165"/>
      <c r="AN6" s="165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</row>
    <row r="7" spans="1:123" s="5" customFormat="1" ht="34.950000000000003" customHeight="1">
      <c r="B7" s="128" t="s">
        <v>53</v>
      </c>
      <c r="C7" s="53"/>
      <c r="D7" s="137">
        <f>IF(H10="","",RANK(H10,$Y$32:$Y$35,0))</f>
        <v>3</v>
      </c>
      <c r="E7" s="54" t="s">
        <v>51</v>
      </c>
      <c r="F7" s="55"/>
      <c r="G7" s="109">
        <v>2003</v>
      </c>
      <c r="H7" s="132"/>
      <c r="I7" s="54"/>
      <c r="J7" s="57">
        <v>57</v>
      </c>
      <c r="K7" s="106">
        <v>41</v>
      </c>
      <c r="L7" s="59" t="s">
        <v>52</v>
      </c>
      <c r="M7" s="60"/>
      <c r="N7" s="88">
        <f>IF(E7="","",IF(MAXA(K7:M7)&lt;=0,0,MAXA(K7:M7)))</f>
        <v>41</v>
      </c>
      <c r="O7" s="106">
        <v>59</v>
      </c>
      <c r="P7" s="59"/>
      <c r="Q7" s="60"/>
      <c r="R7" s="88">
        <f>IF(E7="","",IF(MAXA(O7:Q7)&lt;=0,0,MAXA(O7:Q7)))</f>
        <v>59</v>
      </c>
      <c r="S7" s="61">
        <f>IF(E7="","",N7+R7)</f>
        <v>100</v>
      </c>
      <c r="T7" s="62" t="str">
        <f>+CONCATENATE(AL7," ",AM7)</f>
        <v>DPT + 9</v>
      </c>
      <c r="U7" s="62" t="str">
        <f>IF(E7=0," ",IF(E7="H",IF(G7&lt;=SENIORS_Min,VLOOKUP(J7,Minimas!$A$15:$F$29,6),IF(AND(G7&gt;=U20_Min,G7&lt;=U20_Max),VLOOKUP(J7,Minimas!$A$15:$F$29,5),IF(AND(G7&gt;=U17_Min,G7&lt;=U17_Max),VLOOKUP(J7,Minimas!$A$15:$F$29,4),IF(AND(G7&gt;=U15_Min,G7&lt;=U15_Max),VLOOKUP(J7,Minimas!$A$15:$F$29,3),VLOOKUP(J7,Minimas!$A$15:$F$29,2))))),IF(G7&lt;=SENIORS_Min,VLOOKUP(J7,Minimas!$G$15:$L$29,6),IF(AND(G7&gt;=U20_Min,G7&lt;=U20_Max),VLOOKUP(J7,Minimas!$G$15:$L$29,5),IF(AND(G7&gt;=U17_Min,G7&lt;=U17_Max),VLOOKUP(J7,Minimas!$G$15:$L$29,4),IF(AND(G7&gt;=U15_Min,G7&lt;=U15_Max),VLOOKUP(J7,Minimas!$G$15:$L$29,3),VLOOKUP(J7,Minimas!$G$15:$L$29,2)))))))</f>
        <v>SE F58</v>
      </c>
      <c r="V7" s="63">
        <f>IF(E7=" "," ",IF(E7="H",10^(0.722762521*LOG(J7/193.609)^2)*S7,IF(E7="F",10^(0.787004341* LOG(J7/153.757)^2)*S7*1.5,"")))</f>
        <v>210.01913511132219</v>
      </c>
      <c r="Z7" s="32"/>
      <c r="AA7" s="166">
        <f>$S7-HLOOKUP($U7,Minimas!$C$3:$BO$11,2,FALSE)</f>
        <v>29</v>
      </c>
      <c r="AB7" s="166">
        <f>$S7-HLOOKUP($U7,Minimas!$C$3:$BO$11,3,FALSE)</f>
        <v>9</v>
      </c>
      <c r="AC7" s="166">
        <f>$S7-HLOOKUP($U7,Minimas!$C$3:$BO$11,4,FALSE)</f>
        <v>-12</v>
      </c>
      <c r="AD7" s="166">
        <f>$S7-HLOOKUP($U7,Minimas!$C$3:$BO$11,5,FALSE)</f>
        <v>-32</v>
      </c>
      <c r="AE7" s="166">
        <f>$S7-HLOOKUP($U7,Minimas!$C$3:$BO$11,6,FALSE)</f>
        <v>-48</v>
      </c>
      <c r="AF7" s="166">
        <f>$S7-HLOOKUP($U7,Minimas!$C$3:$BO$11,7,FALSE)</f>
        <v>-62</v>
      </c>
      <c r="AG7" s="166">
        <f>$S7-HLOOKUP($U7,Minimas!$C$3:$BO$11,8,FALSE)</f>
        <v>-97</v>
      </c>
      <c r="AH7" s="166">
        <f>$S7-HLOOKUP($U7,Minimas!$C$3:$BO$11,9,FALSE)</f>
        <v>-103</v>
      </c>
      <c r="AI7" s="166"/>
      <c r="AJ7" s="163" t="str">
        <f>IF(E7=0," ",IF(AH7&gt;=0,$AH$5,IF(AG7&gt;=0,$AG$5,IF(AF7&gt;=0,$AF$5,IF(AE7&gt;=0,$AE$5,IF(AD7&gt;=0,$AD$5,IF(AC7&gt;=0,$AC$5,IF(AB7&gt;=0,$AB$5,$AA$5))))))))</f>
        <v>DPT +</v>
      </c>
      <c r="AK7" s="163"/>
      <c r="AL7" s="163" t="str">
        <f>IF(AJ7="","",AJ7)</f>
        <v>DPT +</v>
      </c>
      <c r="AM7" s="166">
        <f>IF(E7=0," ",IF(AH7&gt;=0,AH7,IF(AG7&gt;=0,AG7,IF(AF7&gt;=0,AF7,IF(AE7&gt;=0,AE7,IF(AD7&gt;=0,AD7,IF(AC7&gt;=0,AC7,IF(AB7&gt;=0,AB7,AA7))))))))</f>
        <v>9</v>
      </c>
      <c r="AN7" s="163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</row>
    <row r="8" spans="1:123" s="5" customFormat="1" ht="34.950000000000003" customHeight="1">
      <c r="B8" s="129"/>
      <c r="C8" s="64"/>
      <c r="D8" s="138"/>
      <c r="E8" s="65" t="s">
        <v>51</v>
      </c>
      <c r="F8" s="66"/>
      <c r="G8" s="110">
        <v>2004</v>
      </c>
      <c r="H8" s="133"/>
      <c r="I8" s="65"/>
      <c r="J8" s="68">
        <v>60</v>
      </c>
      <c r="K8" s="107">
        <v>46</v>
      </c>
      <c r="L8" s="70"/>
      <c r="M8" s="71"/>
      <c r="N8" s="89">
        <f>IF(E8="","",IF(MAXA(K8:M8)&lt;=0,0,MAXA(K8:M8)))</f>
        <v>46</v>
      </c>
      <c r="O8" s="107">
        <v>62</v>
      </c>
      <c r="P8" s="70"/>
      <c r="Q8" s="71"/>
      <c r="R8" s="89">
        <f>IF(E8="","",IF(MAXA(O8:Q8)&lt;=0,0,MAXA(O8:Q8)))</f>
        <v>62</v>
      </c>
      <c r="S8" s="72">
        <f>IF(E8="","",N8+R8)</f>
        <v>108</v>
      </c>
      <c r="T8" s="73" t="str">
        <f>+CONCATENATE(AL8," ",AM8)</f>
        <v>DPT + 13</v>
      </c>
      <c r="U8" s="73" t="str">
        <f>IF(E8=0," ",IF(E8="H",IF(G8&lt;=SENIORS_Min,VLOOKUP(J8,Minimas!$A$15:$F$29,6),IF(AND(G8&gt;=U20_Min,G8&lt;=U20_Max),VLOOKUP(J8,Minimas!$A$15:$F$29,5),IF(AND(G8&gt;=U17_Min,G8&lt;=U17_Max),VLOOKUP(J8,Minimas!$A$15:$F$29,4),IF(AND(G8&gt;=U15_Min,G8&lt;=U15_Max),VLOOKUP(J8,Minimas!$A$15:$F$29,3),VLOOKUP(J8,Minimas!$A$15:$F$29,2))))),IF(G8&lt;=SENIORS_Min,VLOOKUP(J8,Minimas!$G$15:$L$29,6),IF(AND(G8&gt;=U20_Min,G8&lt;=U20_Max),VLOOKUP(J8,Minimas!$G$15:$L$29,5),IF(AND(G8&gt;=U17_Min,G8&lt;=U17_Max),VLOOKUP(J8,Minimas!$G$15:$L$29,4),IF(AND(G8&gt;=U15_Min,G8&lt;=U15_Max),VLOOKUP(J8,Minimas!$G$15:$L$29,3),VLOOKUP(J8,Minimas!$G$15:$L$29,2)))))))</f>
        <v>SE F63</v>
      </c>
      <c r="V8" s="74">
        <f t="shared" ref="V8:V17" si="0">IF(E8=" "," ",IF(E8="H",10^(0.722762521*LOG(J8/193.609)^2)*S8,IF(E8="F",10^(0.787004341* LOG(J8/153.757)^2)*S8*1.5,"")))</f>
        <v>219.26146303547992</v>
      </c>
      <c r="Y8" s="112"/>
      <c r="Z8" s="32"/>
      <c r="AA8" s="166">
        <f>$S8-HLOOKUP($U8,Minimas!$C$3:$BO$11,2,FALSE)</f>
        <v>34</v>
      </c>
      <c r="AB8" s="166">
        <f>$S8-HLOOKUP($U8,Minimas!$C$3:$BO$11,3,FALSE)</f>
        <v>13</v>
      </c>
      <c r="AC8" s="166">
        <f>$S8-HLOOKUP($U8,Minimas!$C$3:$BO$11,4,FALSE)</f>
        <v>-8</v>
      </c>
      <c r="AD8" s="166">
        <f>$S8-HLOOKUP($U8,Minimas!$C$3:$BO$11,5,FALSE)</f>
        <v>-29</v>
      </c>
      <c r="AE8" s="166">
        <f>$S8-HLOOKUP($U8,Minimas!$C$3:$BO$11,6,FALSE)</f>
        <v>-46</v>
      </c>
      <c r="AF8" s="166">
        <f>$S8-HLOOKUP($U8,Minimas!$C$3:$BO$11,7,FALSE)</f>
        <v>-61</v>
      </c>
      <c r="AG8" s="166">
        <f>$S8-HLOOKUP($U8,Minimas!$C$3:$BO$11,8,FALSE)</f>
        <v>-97</v>
      </c>
      <c r="AH8" s="166">
        <f>$S8-HLOOKUP($U8,Minimas!$C$3:$BO$11,9,FALSE)</f>
        <v>-103</v>
      </c>
      <c r="AI8" s="166"/>
      <c r="AJ8" s="163" t="str">
        <f t="shared" ref="AJ8:AJ30" si="1">IF(E8=0," ",IF(AH8&gt;=0,$AH$5,IF(AG8&gt;=0,$AG$5,IF(AF8&gt;=0,$AF$5,IF(AE8&gt;=0,$AE$5,IF(AD8&gt;=0,$AD$5,IF(AC8&gt;=0,$AC$5,IF(AB8&gt;=0,$AB$5,$AA$5))))))))</f>
        <v>DPT +</v>
      </c>
      <c r="AK8" s="163"/>
      <c r="AL8" s="163" t="str">
        <f t="shared" ref="AL8:AL30" si="2">IF(AJ8="","",AJ8)</f>
        <v>DPT +</v>
      </c>
      <c r="AM8" s="166">
        <f t="shared" ref="AM8:AM30" si="3">IF(E8=0," ",IF(AH8&gt;=0,AH8,IF(AG8&gt;=0,AG8,IF(AF8&gt;=0,AF8,IF(AE8&gt;=0,AE8,IF(AD8&gt;=0,AD8,IF(AC8&gt;=0,AC8,IF(AB8&gt;=0,AB8,AA8))))))))</f>
        <v>13</v>
      </c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</row>
    <row r="9" spans="1:123" s="5" customFormat="1" ht="34.950000000000003" customHeight="1">
      <c r="B9" s="130"/>
      <c r="C9" s="64"/>
      <c r="D9" s="138"/>
      <c r="E9" s="65" t="s">
        <v>51</v>
      </c>
      <c r="F9" s="66"/>
      <c r="G9" s="110">
        <v>2005</v>
      </c>
      <c r="H9" s="134"/>
      <c r="I9" s="65"/>
      <c r="J9" s="68">
        <v>65</v>
      </c>
      <c r="K9" s="107">
        <v>92</v>
      </c>
      <c r="L9" s="70" t="s">
        <v>52</v>
      </c>
      <c r="M9" s="71"/>
      <c r="N9" s="89">
        <f>IF(E9="","",IF(MAXA(K9:M9)&lt;=0,0,MAXA(K9:M9)))</f>
        <v>92</v>
      </c>
      <c r="O9" s="107">
        <v>110</v>
      </c>
      <c r="P9" s="70"/>
      <c r="Q9" s="71"/>
      <c r="R9" s="89">
        <f>IF(E9="","",IF(MAXA(O9:Q9)&lt;=0,0,MAXA(O9:Q9)))</f>
        <v>110</v>
      </c>
      <c r="S9" s="72">
        <f>IF(E9="","",N9+R9)</f>
        <v>202</v>
      </c>
      <c r="T9" s="73" t="str">
        <f t="shared" ref="T9:T10" si="4">+CONCATENATE(AL9," ",AM9)</f>
        <v>NAT + 26</v>
      </c>
      <c r="U9" s="73" t="str">
        <f>IF(E9=0," ",IF(E9="H",IF(G9&lt;=SENIORS_Min,VLOOKUP(J9,Minimas!$A$15:$F$29,6),IF(AND(G9&gt;=U20_Min,G9&lt;=U20_Max),VLOOKUP(J9,Minimas!$A$15:$F$29,5),IF(AND(G9&gt;=U17_Min,G9&lt;=U17_Max),VLOOKUP(J9,Minimas!$A$15:$F$29,4),IF(AND(G9&gt;=U15_Min,G9&lt;=U15_Max),VLOOKUP(J9,Minimas!$A$15:$F$29,3),VLOOKUP(J9,Minimas!$A$15:$F$29,2))))),IF(G9&lt;=SENIORS_Min,VLOOKUP(J9,Minimas!$G$15:$L$29,6),IF(AND(G9&gt;=U20_Min,G9&lt;=U20_Max),VLOOKUP(J9,Minimas!$G$15:$L$29,5),IF(AND(G9&gt;=U17_Min,G9&lt;=U17_Max),VLOOKUP(J9,Minimas!$G$15:$L$29,4),IF(AND(G9&gt;=U15_Min,G9&lt;=U15_Max),VLOOKUP(J9,Minimas!$G$15:$L$29,3),VLOOKUP(J9,Minimas!$G$15:$L$29,2)))))))</f>
        <v>SE F69</v>
      </c>
      <c r="V9" s="74">
        <f t="shared" si="0"/>
        <v>390.37272370619769</v>
      </c>
      <c r="Y9" s="112"/>
      <c r="Z9" s="32"/>
      <c r="AA9" s="166">
        <f>$S9-HLOOKUP($U9,Minimas!$C$3:$BO$11,2,FALSE)</f>
        <v>125</v>
      </c>
      <c r="AB9" s="166">
        <f>$S9-HLOOKUP($U9,Minimas!$C$3:$BO$11,3,FALSE)</f>
        <v>103</v>
      </c>
      <c r="AC9" s="166">
        <f>$S9-HLOOKUP($U9,Minimas!$C$3:$BO$11,4,FALSE)</f>
        <v>81</v>
      </c>
      <c r="AD9" s="166">
        <f>$S9-HLOOKUP($U9,Minimas!$C$3:$BO$11,5,FALSE)</f>
        <v>59</v>
      </c>
      <c r="AE9" s="166">
        <f>$S9-HLOOKUP($U9,Minimas!$C$3:$BO$11,6,FALSE)</f>
        <v>41</v>
      </c>
      <c r="AF9" s="166">
        <f>$S9-HLOOKUP($U9,Minimas!$C$3:$BO$11,7,FALSE)</f>
        <v>26</v>
      </c>
      <c r="AG9" s="166">
        <f>$S9-HLOOKUP($U9,Minimas!$C$3:$BO$11,8,FALSE)</f>
        <v>-11</v>
      </c>
      <c r="AH9" s="166">
        <f>$S9-HLOOKUP($U9,Minimas!$C$3:$BO$11,9,FALSE)</f>
        <v>-18</v>
      </c>
      <c r="AI9" s="166"/>
      <c r="AJ9" s="163" t="str">
        <f t="shared" si="1"/>
        <v>NAT +</v>
      </c>
      <c r="AK9" s="163"/>
      <c r="AL9" s="163" t="str">
        <f t="shared" si="2"/>
        <v>NAT +</v>
      </c>
      <c r="AM9" s="166">
        <f t="shared" si="3"/>
        <v>26</v>
      </c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</row>
    <row r="10" spans="1:123" s="5" customFormat="1" ht="34.950000000000003" customHeight="1">
      <c r="B10" s="130"/>
      <c r="C10" s="64"/>
      <c r="D10" s="138"/>
      <c r="E10" s="65" t="s">
        <v>51</v>
      </c>
      <c r="F10" s="66"/>
      <c r="G10" s="110">
        <v>2006</v>
      </c>
      <c r="H10" s="135">
        <f>SUM(V7:V11)</f>
        <v>1347.9246196142831</v>
      </c>
      <c r="I10" s="65"/>
      <c r="J10" s="68">
        <v>67.900000000000006</v>
      </c>
      <c r="K10" s="107">
        <v>55</v>
      </c>
      <c r="L10" s="70"/>
      <c r="M10" s="71"/>
      <c r="N10" s="89">
        <f>IF(E10="","",IF(MAXA(K10:M10)&lt;=0,0,MAXA(K10:M10)))</f>
        <v>55</v>
      </c>
      <c r="O10" s="107">
        <v>85</v>
      </c>
      <c r="P10" s="70"/>
      <c r="Q10" s="71"/>
      <c r="R10" s="89">
        <f>IF(E10="","",IF(MAXA(O10:Q10)&lt;=0,0,MAXA(O10:Q10)))</f>
        <v>85</v>
      </c>
      <c r="S10" s="72">
        <f>IF(E10="","",N10+R10)</f>
        <v>140</v>
      </c>
      <c r="T10" s="73" t="str">
        <f t="shared" si="4"/>
        <v>IRG + 19</v>
      </c>
      <c r="U10" s="73" t="str">
        <f>IF(E10=0," ",IF(E10="H",IF(G10&lt;=SENIORS_Min,VLOOKUP(J10,Minimas!$A$15:$F$29,6),IF(AND(G10&gt;=U20_Min,G10&lt;=U20_Max),VLOOKUP(J10,Minimas!$A$15:$F$29,5),IF(AND(G10&gt;=U17_Min,G10&lt;=U17_Max),VLOOKUP(J10,Minimas!$A$15:$F$29,4),IF(AND(G10&gt;=U15_Min,G10&lt;=U15_Max),VLOOKUP(J10,Minimas!$A$15:$F$29,3),VLOOKUP(J10,Minimas!$A$15:$F$29,2))))),IF(G10&lt;=SENIORS_Min,VLOOKUP(J10,Minimas!$G$15:$L$29,6),IF(AND(G10&gt;=U20_Min,G10&lt;=U20_Max),VLOOKUP(J10,Minimas!$G$15:$L$29,5),IF(AND(G10&gt;=U17_Min,G10&lt;=U17_Max),VLOOKUP(J10,Minimas!$G$15:$L$29,4),IF(AND(G10&gt;=U15_Min,G10&lt;=U15_Max),VLOOKUP(J10,Minimas!$G$15:$L$29,3),VLOOKUP(J10,Minimas!$G$15:$L$29,2)))))))</f>
        <v>U20 F69</v>
      </c>
      <c r="V10" s="74">
        <f t="shared" si="0"/>
        <v>263.86514671670102</v>
      </c>
      <c r="Y10" s="112"/>
      <c r="Z10" s="32"/>
      <c r="AA10" s="166">
        <f>$S10-HLOOKUP($U10,Minimas!$C$3:$BO$11,2,FALSE)</f>
        <v>74</v>
      </c>
      <c r="AB10" s="166">
        <f>$S10-HLOOKUP($U10,Minimas!$C$3:$BO$11,3,FALSE)</f>
        <v>63</v>
      </c>
      <c r="AC10" s="166">
        <f>$S10-HLOOKUP($U10,Minimas!$C$3:$BO$11,4,FALSE)</f>
        <v>41</v>
      </c>
      <c r="AD10" s="166">
        <f>$S10-HLOOKUP($U10,Minimas!$C$3:$BO$11,5,FALSE)</f>
        <v>19</v>
      </c>
      <c r="AE10" s="166">
        <f>$S10-HLOOKUP($U10,Minimas!$C$3:$BO$11,6,FALSE)</f>
        <v>-3</v>
      </c>
      <c r="AF10" s="166">
        <f>$S10-HLOOKUP($U10,Minimas!$C$3:$BO$11,7,FALSE)</f>
        <v>-25</v>
      </c>
      <c r="AG10" s="166">
        <f>$S10-HLOOKUP($U10,Minimas!$C$3:$BO$11,8,FALSE)</f>
        <v>-51</v>
      </c>
      <c r="AH10" s="166">
        <f>$S10-HLOOKUP($U10,Minimas!$C$3:$BO$11,9,FALSE)</f>
        <v>-58</v>
      </c>
      <c r="AI10" s="166"/>
      <c r="AJ10" s="163" t="str">
        <f t="shared" si="1"/>
        <v>IRG +</v>
      </c>
      <c r="AK10" s="163"/>
      <c r="AL10" s="163" t="str">
        <f t="shared" si="2"/>
        <v>IRG +</v>
      </c>
      <c r="AM10" s="166">
        <f t="shared" si="3"/>
        <v>19</v>
      </c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</row>
    <row r="11" spans="1:123" s="5" customFormat="1" ht="34.950000000000003" customHeight="1" thickBot="1">
      <c r="B11" s="131"/>
      <c r="C11" s="75"/>
      <c r="D11" s="139"/>
      <c r="E11" s="76" t="s">
        <v>51</v>
      </c>
      <c r="F11" s="77"/>
      <c r="G11" s="111">
        <v>2008</v>
      </c>
      <c r="H11" s="136">
        <f>SUM(V7:V11)</f>
        <v>1347.9246196142831</v>
      </c>
      <c r="I11" s="76"/>
      <c r="J11" s="79">
        <v>66.8</v>
      </c>
      <c r="K11" s="108">
        <v>58</v>
      </c>
      <c r="L11" s="81"/>
      <c r="M11" s="82"/>
      <c r="N11" s="90">
        <f>IF(E11="","",IF(MAXA(K11:M11)&lt;=0,0,MAXA(K11:M11)))</f>
        <v>58</v>
      </c>
      <c r="O11" s="108">
        <v>81</v>
      </c>
      <c r="P11" s="81"/>
      <c r="Q11" s="82"/>
      <c r="R11" s="90">
        <f>IF(E11="","",IF(MAXA(O11:Q11)&lt;=0,0,MAXA(O11:Q11)))</f>
        <v>81</v>
      </c>
      <c r="S11" s="83">
        <f>IF(E11="","",N11+R11)</f>
        <v>139</v>
      </c>
      <c r="T11" s="84" t="str">
        <f>+CONCATENATE(AL11," ",AM11)</f>
        <v>IRG + 18</v>
      </c>
      <c r="U11" s="84" t="str">
        <f>IF(E11=0," ",IF(E11="H",IF(G11&lt;=SENIORS_Min,VLOOKUP(J11,Minimas!$A$15:$F$29,6),IF(AND(G11&gt;=U20_Min,G11&lt;=U20_Max),VLOOKUP(J11,Minimas!$A$15:$F$29,5),IF(AND(G11&gt;=U17_Min,G11&lt;=U17_Max),VLOOKUP(J11,Minimas!$A$15:$F$29,4),IF(AND(G11&gt;=U15_Min,G11&lt;=U15_Max),VLOOKUP(J11,Minimas!$A$15:$F$29,3),VLOOKUP(J11,Minimas!$A$15:$F$29,2))))),IF(G11&lt;=SENIORS_Min,VLOOKUP(J11,Minimas!$G$15:$L$29,6),IF(AND(G11&gt;=U20_Min,G11&lt;=U20_Max),VLOOKUP(J11,Minimas!$G$15:$L$29,5),IF(AND(G11&gt;=U17_Min,G11&lt;=U17_Max),VLOOKUP(J11,Minimas!$G$15:$L$29,4),IF(AND(G11&gt;=U15_Min,G11&lt;=U15_Max),VLOOKUP(J11,Minimas!$G$15:$L$29,3),VLOOKUP(J11,Minimas!$G$15:$L$29,2)))))))</f>
        <v>U20 F69</v>
      </c>
      <c r="V11" s="95">
        <f t="shared" si="0"/>
        <v>264.4061510445822</v>
      </c>
      <c r="Y11" s="112"/>
      <c r="Z11" s="32"/>
      <c r="AA11" s="166">
        <f>$S11-HLOOKUP($U11,Minimas!$C$3:$BO$11,2,FALSE)</f>
        <v>73</v>
      </c>
      <c r="AB11" s="166">
        <f>$S11-HLOOKUP($U11,Minimas!$C$3:$BO$11,3,FALSE)</f>
        <v>62</v>
      </c>
      <c r="AC11" s="166">
        <f>$S11-HLOOKUP($U11,Minimas!$C$3:$BO$11,4,FALSE)</f>
        <v>40</v>
      </c>
      <c r="AD11" s="166">
        <f>$S11-HLOOKUP($U11,Minimas!$C$3:$BO$11,5,FALSE)</f>
        <v>18</v>
      </c>
      <c r="AE11" s="166">
        <f>$S11-HLOOKUP($U11,Minimas!$C$3:$BO$11,6,FALSE)</f>
        <v>-4</v>
      </c>
      <c r="AF11" s="166">
        <f>$S11-HLOOKUP($U11,Minimas!$C$3:$BO$11,7,FALSE)</f>
        <v>-26</v>
      </c>
      <c r="AG11" s="166">
        <f>$S11-HLOOKUP($U11,Minimas!$C$3:$BO$11,8,FALSE)</f>
        <v>-52</v>
      </c>
      <c r="AH11" s="166">
        <f>$S11-HLOOKUP($U11,Minimas!$C$3:$BO$11,9,FALSE)</f>
        <v>-59</v>
      </c>
      <c r="AI11" s="166"/>
      <c r="AJ11" s="163" t="str">
        <f t="shared" si="1"/>
        <v>IRG +</v>
      </c>
      <c r="AK11" s="163"/>
      <c r="AL11" s="163" t="str">
        <f t="shared" si="2"/>
        <v>IRG +</v>
      </c>
      <c r="AM11" s="166">
        <f t="shared" si="3"/>
        <v>18</v>
      </c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</row>
    <row r="12" spans="1:123" s="8" customFormat="1" ht="5.0999999999999996" customHeight="1" thickBot="1">
      <c r="A12" s="7"/>
      <c r="B12" s="39"/>
      <c r="C12" s="40"/>
      <c r="D12" s="41"/>
      <c r="E12" s="42"/>
      <c r="F12" s="50"/>
      <c r="G12" s="43"/>
      <c r="H12" s="44"/>
      <c r="I12" s="45"/>
      <c r="J12" s="46"/>
      <c r="K12" s="47"/>
      <c r="L12" s="47"/>
      <c r="M12" s="47"/>
      <c r="N12" s="48"/>
      <c r="O12" s="47"/>
      <c r="P12" s="47"/>
      <c r="Q12" s="47"/>
      <c r="R12" s="48"/>
      <c r="S12" s="86"/>
      <c r="T12" s="87"/>
      <c r="U12" s="87"/>
      <c r="V12" s="63"/>
      <c r="W12" s="6"/>
      <c r="X12" s="6"/>
      <c r="Y12" s="113"/>
      <c r="Z12" s="30"/>
      <c r="AA12" s="166" t="e">
        <f>$S12-HLOOKUP($U12,Minimas!$C$3:$BO$11,2,FALSE)</f>
        <v>#N/A</v>
      </c>
      <c r="AB12" s="166" t="e">
        <f>$S12-HLOOKUP($U12,Minimas!$C$3:$BO$11,3,FALSE)</f>
        <v>#N/A</v>
      </c>
      <c r="AC12" s="166" t="e">
        <f>$S12-HLOOKUP($U12,Minimas!$C$3:$BO$11,4,FALSE)</f>
        <v>#N/A</v>
      </c>
      <c r="AD12" s="166" t="e">
        <f>$S12-HLOOKUP($U12,Minimas!$C$3:$BO$11,5,FALSE)</f>
        <v>#N/A</v>
      </c>
      <c r="AE12" s="166" t="e">
        <f>$S12-HLOOKUP($U12,Minimas!$C$3:$BO$11,6,FALSE)</f>
        <v>#N/A</v>
      </c>
      <c r="AF12" s="166" t="e">
        <f>$S12-HLOOKUP($U12,Minimas!$C$3:$BO$11,7,FALSE)</f>
        <v>#N/A</v>
      </c>
      <c r="AG12" s="166" t="e">
        <f>$S12-HLOOKUP($U12,Minimas!$C$3:$BO$11,8,FALSE)</f>
        <v>#N/A</v>
      </c>
      <c r="AH12" s="166" t="e">
        <f>$S12-HLOOKUP($U12,Minimas!$C$3:$BO$11,9,FALSE)</f>
        <v>#N/A</v>
      </c>
      <c r="AI12" s="166"/>
      <c r="AJ12" s="163" t="str">
        <f t="shared" si="1"/>
        <v xml:space="preserve"> </v>
      </c>
      <c r="AK12" s="163"/>
      <c r="AL12" s="163" t="str">
        <f t="shared" si="2"/>
        <v xml:space="preserve"> </v>
      </c>
      <c r="AM12" s="166" t="str">
        <f t="shared" si="3"/>
        <v xml:space="preserve"> </v>
      </c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</row>
    <row r="13" spans="1:123" s="5" customFormat="1" ht="34.950000000000003" customHeight="1">
      <c r="B13" s="128" t="s">
        <v>53</v>
      </c>
      <c r="C13" s="53"/>
      <c r="D13" s="126">
        <f>IF(H16="","",RANK(H16,$Y$32:$Y$35,0))</f>
        <v>4</v>
      </c>
      <c r="E13" s="54" t="s">
        <v>51</v>
      </c>
      <c r="F13" s="55"/>
      <c r="G13" s="56">
        <v>2003</v>
      </c>
      <c r="H13" s="132"/>
      <c r="I13" s="54"/>
      <c r="J13" s="57">
        <v>69</v>
      </c>
      <c r="K13" s="58">
        <v>90</v>
      </c>
      <c r="L13" s="59"/>
      <c r="M13" s="60"/>
      <c r="N13" s="88">
        <f>IF(E13="","",IF(MAXA(K13:M13)&lt;=0,0,MAXA(K13:M13)))</f>
        <v>90</v>
      </c>
      <c r="O13" s="58">
        <v>115</v>
      </c>
      <c r="P13" s="59"/>
      <c r="Q13" s="60"/>
      <c r="R13" s="88">
        <f>IF(E13="","",IF(MAXA(O13:Q13)&lt;=0,0,MAXA(O13:Q13)))</f>
        <v>115</v>
      </c>
      <c r="S13" s="61">
        <f>IF(E13="","",N13+R13)</f>
        <v>205</v>
      </c>
      <c r="T13" s="62" t="str">
        <f>+CONCATENATE(AL13," ",AM13)</f>
        <v>NAT + 29</v>
      </c>
      <c r="U13" s="62" t="str">
        <f>IF(E13=0," ",IF(E13="H",IF(G13&lt;=SENIORS_Min,VLOOKUP(J13,Minimas!$A$15:$F$29,6),IF(AND(G13&gt;=U20_Min,G13&lt;=U20_Max),VLOOKUP(J13,Minimas!$A$15:$F$29,5),IF(AND(G13&gt;=U17_Min,G13&lt;=U17_Max),VLOOKUP(J13,Minimas!$A$15:$F$29,4),IF(AND(G13&gt;=U15_Min,G13&lt;=U15_Max),VLOOKUP(J13,Minimas!$A$15:$F$29,3),VLOOKUP(J13,Minimas!$A$15:$F$29,2))))),IF(G13&lt;=SENIORS_Min,VLOOKUP(J13,Minimas!$G$15:$L$29,6),IF(AND(G13&gt;=U20_Min,G13&lt;=U20_Max),VLOOKUP(J13,Minimas!$G$15:$L$29,5),IF(AND(G13&gt;=U17_Min,G13&lt;=U17_Max),VLOOKUP(J13,Minimas!$G$15:$L$29,4),IF(AND(G13&gt;=U15_Min,G13&lt;=U15_Max),VLOOKUP(J13,Minimas!$G$15:$L$29,3),VLOOKUP(J13,Minimas!$G$15:$L$29,2)))))))</f>
        <v>SE F69</v>
      </c>
      <c r="V13" s="63">
        <f>IF(E13=" "," ",IF(E13="H",10^(0.722762521*LOG(J13/193.609)^2)*S13,IF(E13="F",10^(0.787004341* LOG(J13/153.757)^2)*S13*1.5,"")))</f>
        <v>382.9540961285461</v>
      </c>
      <c r="Y13" s="112"/>
      <c r="Z13" s="32"/>
      <c r="AA13" s="166">
        <f>$S13-HLOOKUP($U13,Minimas!$C$3:$BO$11,2,FALSE)</f>
        <v>128</v>
      </c>
      <c r="AB13" s="166">
        <f>$S13-HLOOKUP($U13,Minimas!$C$3:$BO$11,3,FALSE)</f>
        <v>106</v>
      </c>
      <c r="AC13" s="166">
        <f>$S13-HLOOKUP($U13,Minimas!$C$3:$BO$11,4,FALSE)</f>
        <v>84</v>
      </c>
      <c r="AD13" s="166">
        <f>$S13-HLOOKUP($U13,Minimas!$C$3:$BO$11,5,FALSE)</f>
        <v>62</v>
      </c>
      <c r="AE13" s="166">
        <f>$S13-HLOOKUP($U13,Minimas!$C$3:$BO$11,6,FALSE)</f>
        <v>44</v>
      </c>
      <c r="AF13" s="166">
        <f>$S13-HLOOKUP($U13,Minimas!$C$3:$BO$11,7,FALSE)</f>
        <v>29</v>
      </c>
      <c r="AG13" s="166">
        <f>$S13-HLOOKUP($U13,Minimas!$C$3:$BO$11,8,FALSE)</f>
        <v>-8</v>
      </c>
      <c r="AH13" s="166">
        <f>$S13-HLOOKUP($U13,Minimas!$C$3:$BO$11,9,FALSE)</f>
        <v>-15</v>
      </c>
      <c r="AI13" s="166"/>
      <c r="AJ13" s="163" t="str">
        <f t="shared" si="1"/>
        <v>NAT +</v>
      </c>
      <c r="AK13" s="163"/>
      <c r="AL13" s="163" t="str">
        <f t="shared" si="2"/>
        <v>NAT +</v>
      </c>
      <c r="AM13" s="166">
        <f t="shared" si="3"/>
        <v>29</v>
      </c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</row>
    <row r="14" spans="1:123" s="5" customFormat="1" ht="34.950000000000003" customHeight="1">
      <c r="B14" s="129"/>
      <c r="C14" s="64"/>
      <c r="D14" s="126"/>
      <c r="E14" s="65" t="s">
        <v>50</v>
      </c>
      <c r="F14" s="66"/>
      <c r="G14" s="67"/>
      <c r="H14" s="133"/>
      <c r="I14" s="65"/>
      <c r="J14" s="68">
        <v>59</v>
      </c>
      <c r="K14" s="69">
        <v>65</v>
      </c>
      <c r="L14" s="70"/>
      <c r="M14" s="71"/>
      <c r="N14" s="89">
        <f>IF(E14="","",IF(MAXA(K14:M14)&lt;=0,0,MAXA(K14:M14)))</f>
        <v>65</v>
      </c>
      <c r="O14" s="69">
        <v>80</v>
      </c>
      <c r="P14" s="70"/>
      <c r="Q14" s="71"/>
      <c r="R14" s="89">
        <f>IF(E14="","",IF(MAXA(O14:Q14)&lt;=0,0,MAXA(O14:Q14)))</f>
        <v>80</v>
      </c>
      <c r="S14" s="72">
        <f>IF(E14="","",N14+R14)</f>
        <v>145</v>
      </c>
      <c r="T14" s="73" t="str">
        <f>+CONCATENATE(AL14," ",AM14)</f>
        <v>DPT + 23</v>
      </c>
      <c r="U14" s="73" t="str">
        <f>IF(E14=0," ",IF(E14="H",IF(G14&lt;=SENIORS_Min,VLOOKUP(J14,Minimas!$A$15:$F$29,6),IF(AND(G14&gt;=U20_Min,G14&lt;=U20_Max),VLOOKUP(J14,Minimas!$A$15:$F$29,5),IF(AND(G14&gt;=U17_Min,G14&lt;=U17_Max),VLOOKUP(J14,Minimas!$A$15:$F$29,4),IF(AND(G14&gt;=U15_Min,G14&lt;=U15_Max),VLOOKUP(J14,Minimas!$A$15:$F$29,3),VLOOKUP(J14,Minimas!$A$15:$F$29,2))))),IF(G14&lt;=SENIORS_Min,VLOOKUP(J14,Minimas!$G$15:$L$29,6),IF(AND(G14&gt;=U20_Min,G14&lt;=U20_Max),VLOOKUP(J14,Minimas!$G$15:$L$29,5),IF(AND(G14&gt;=U17_Min,G14&lt;=U17_Max),VLOOKUP(J14,Minimas!$G$15:$L$29,4),IF(AND(G14&gt;=U15_Min,G14&lt;=U15_Max),VLOOKUP(J14,Minimas!$G$15:$L$29,3),VLOOKUP(J14,Minimas!$G$15:$L$29,2)))))))</f>
        <v>SE M60</v>
      </c>
      <c r="V14" s="74">
        <f t="shared" si="0"/>
        <v>225.87216229474754</v>
      </c>
      <c r="Z14" s="32"/>
      <c r="AA14" s="166">
        <f>$S14-HLOOKUP($U14,Minimas!$C$3:$BO$11,2,FALSE)</f>
        <v>50</v>
      </c>
      <c r="AB14" s="166">
        <f>$S14-HLOOKUP($U14,Minimas!$C$3:$BO$11,3,FALSE)</f>
        <v>23</v>
      </c>
      <c r="AC14" s="166">
        <f>$S14-HLOOKUP($U14,Minimas!$C$3:$BO$11,4,FALSE)</f>
        <v>-4</v>
      </c>
      <c r="AD14" s="166">
        <f>$S14-HLOOKUP($U14,Minimas!$C$3:$BO$11,5,FALSE)</f>
        <v>-31</v>
      </c>
      <c r="AE14" s="166">
        <f>$S14-HLOOKUP($U14,Minimas!$C$3:$BO$11,6,FALSE)</f>
        <v>-53</v>
      </c>
      <c r="AF14" s="166">
        <f>$S14-HLOOKUP($U14,Minimas!$C$3:$BO$11,7,FALSE)</f>
        <v>-72</v>
      </c>
      <c r="AG14" s="166">
        <f>$S14-HLOOKUP($U14,Minimas!$C$3:$BO$11,8,FALSE)</f>
        <v>-118</v>
      </c>
      <c r="AH14" s="166">
        <f>$S14-HLOOKUP($U14,Minimas!$C$3:$BO$11,9,FALSE)</f>
        <v>-126</v>
      </c>
      <c r="AI14" s="166"/>
      <c r="AJ14" s="163" t="str">
        <f t="shared" si="1"/>
        <v>DPT +</v>
      </c>
      <c r="AK14" s="163"/>
      <c r="AL14" s="163" t="str">
        <f t="shared" si="2"/>
        <v>DPT +</v>
      </c>
      <c r="AM14" s="166">
        <f t="shared" si="3"/>
        <v>23</v>
      </c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</row>
    <row r="15" spans="1:123" s="5" customFormat="1" ht="34.950000000000003" customHeight="1">
      <c r="B15" s="130"/>
      <c r="C15" s="64"/>
      <c r="D15" s="126"/>
      <c r="E15" s="65" t="s">
        <v>50</v>
      </c>
      <c r="F15" s="66"/>
      <c r="G15" s="67"/>
      <c r="H15" s="134"/>
      <c r="I15" s="65"/>
      <c r="J15" s="68">
        <v>61</v>
      </c>
      <c r="K15" s="69">
        <v>70</v>
      </c>
      <c r="L15" s="70"/>
      <c r="M15" s="71"/>
      <c r="N15" s="89">
        <f>IF(E15="","",IF(MAXA(K15:M15)&lt;=0,0,MAXA(K15:M15)))</f>
        <v>70</v>
      </c>
      <c r="O15" s="69">
        <v>90</v>
      </c>
      <c r="P15" s="70"/>
      <c r="Q15" s="71"/>
      <c r="R15" s="89">
        <f>IF(E15="","",IF(MAXA(O15:Q15)&lt;=0,0,MAXA(O15:Q15)))</f>
        <v>90</v>
      </c>
      <c r="S15" s="72">
        <f>IF(E15="","",N15+R15)</f>
        <v>160</v>
      </c>
      <c r="T15" s="73" t="str">
        <f t="shared" ref="T15:T16" si="5">+CONCATENATE(AL15," ",AM15)</f>
        <v>REG + 3</v>
      </c>
      <c r="U15" s="73" t="str">
        <f>IF(E15=0," ",IF(E15="H",IF(G15&lt;=SENIORS_Min,VLOOKUP(J15,Minimas!$A$15:$F$29,6),IF(AND(G15&gt;=U20_Min,G15&lt;=U20_Max),VLOOKUP(J15,Minimas!$A$15:$F$29,5),IF(AND(G15&gt;=U17_Min,G15&lt;=U17_Max),VLOOKUP(J15,Minimas!$A$15:$F$29,4),IF(AND(G15&gt;=U15_Min,G15&lt;=U15_Max),VLOOKUP(J15,Minimas!$A$15:$F$29,3),VLOOKUP(J15,Minimas!$A$15:$F$29,2))))),IF(G15&lt;=SENIORS_Min,VLOOKUP(J15,Minimas!$G$15:$L$29,6),IF(AND(G15&gt;=U20_Min,G15&lt;=U20_Max),VLOOKUP(J15,Minimas!$G$15:$L$29,5),IF(AND(G15&gt;=U17_Min,G15&lt;=U17_Max),VLOOKUP(J15,Minimas!$G$15:$L$29,4),IF(AND(G15&gt;=U15_Min,G15&lt;=U15_Max),VLOOKUP(J15,Minimas!$G$15:$L$29,3),VLOOKUP(J15,Minimas!$G$15:$L$29,2)))))))</f>
        <v>SE M65</v>
      </c>
      <c r="V15" s="74">
        <f t="shared" si="0"/>
        <v>243.20123182820913</v>
      </c>
      <c r="Z15" s="32"/>
      <c r="AA15" s="166">
        <f>$S15-HLOOKUP($U15,Minimas!$C$3:$BO$11,2,FALSE)</f>
        <v>60</v>
      </c>
      <c r="AB15" s="166">
        <f>$S15-HLOOKUP($U15,Minimas!$C$3:$BO$11,3,FALSE)</f>
        <v>31</v>
      </c>
      <c r="AC15" s="166">
        <f>$S15-HLOOKUP($U15,Minimas!$C$3:$BO$11,4,FALSE)</f>
        <v>3</v>
      </c>
      <c r="AD15" s="166">
        <f>$S15-HLOOKUP($U15,Minimas!$C$3:$BO$11,5,FALSE)</f>
        <v>-26</v>
      </c>
      <c r="AE15" s="166">
        <f>$S15-HLOOKUP($U15,Minimas!$C$3:$BO$11,6,FALSE)</f>
        <v>-49</v>
      </c>
      <c r="AF15" s="166">
        <f>$S15-HLOOKUP($U15,Minimas!$C$3:$BO$11,7,FALSE)</f>
        <v>-69</v>
      </c>
      <c r="AG15" s="166">
        <f>$S15-HLOOKUP($U15,Minimas!$C$3:$BO$11,8,FALSE)</f>
        <v>-117</v>
      </c>
      <c r="AH15" s="166">
        <f>$S15-HLOOKUP($U15,Minimas!$C$3:$BO$11,9,FALSE)</f>
        <v>-126</v>
      </c>
      <c r="AI15" s="166"/>
      <c r="AJ15" s="163" t="str">
        <f t="shared" si="1"/>
        <v>REG +</v>
      </c>
      <c r="AK15" s="163"/>
      <c r="AL15" s="163" t="str">
        <f t="shared" si="2"/>
        <v>REG +</v>
      </c>
      <c r="AM15" s="166">
        <f t="shared" si="3"/>
        <v>3</v>
      </c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</row>
    <row r="16" spans="1:123" s="5" customFormat="1" ht="34.950000000000003" customHeight="1">
      <c r="B16" s="130"/>
      <c r="C16" s="64"/>
      <c r="D16" s="126"/>
      <c r="E16" s="65" t="s">
        <v>50</v>
      </c>
      <c r="F16" s="66"/>
      <c r="G16" s="67"/>
      <c r="H16" s="135">
        <f>SUM(V13:V17)</f>
        <v>1308.105527004921</v>
      </c>
      <c r="I16" s="65" t="s">
        <v>36</v>
      </c>
      <c r="J16" s="68">
        <v>82</v>
      </c>
      <c r="K16" s="69">
        <v>55</v>
      </c>
      <c r="L16" s="70"/>
      <c r="M16" s="71"/>
      <c r="N16" s="89">
        <f>IF(E16="","",IF(MAXA(K16:M16)&lt;=0,0,MAXA(K16:M16)))</f>
        <v>55</v>
      </c>
      <c r="O16" s="69">
        <v>75</v>
      </c>
      <c r="P16" s="70"/>
      <c r="Q16" s="71"/>
      <c r="R16" s="89">
        <f>IF(E16="","",IF(MAXA(O16:Q16)&lt;=0,0,MAXA(O16:Q16)))</f>
        <v>75</v>
      </c>
      <c r="S16" s="72">
        <f>IF(E16="","",N16+R16)</f>
        <v>130</v>
      </c>
      <c r="T16" s="73" t="str">
        <f t="shared" si="5"/>
        <v>DEB 7</v>
      </c>
      <c r="U16" s="73" t="str">
        <f>IF(E16=0," ",IF(E16="H",IF(G16&lt;=SENIORS_Min,VLOOKUP(J16,Minimas!$A$15:$F$29,6),IF(AND(G16&gt;=U20_Min,G16&lt;=U20_Max),VLOOKUP(J16,Minimas!$A$15:$F$29,5),IF(AND(G16&gt;=U17_Min,G16&lt;=U17_Max),VLOOKUP(J16,Minimas!$A$15:$F$29,4),IF(AND(G16&gt;=U15_Min,G16&lt;=U15_Max),VLOOKUP(J16,Minimas!$A$15:$F$29,3),VLOOKUP(J16,Minimas!$A$15:$F$29,2))))),IF(G16&lt;=SENIORS_Min,VLOOKUP(J16,Minimas!$G$15:$L$29,6),IF(AND(G16&gt;=U20_Min,G16&lt;=U20_Max),VLOOKUP(J16,Minimas!$G$15:$L$29,5),IF(AND(G16&gt;=U17_Min,G16&lt;=U17_Max),VLOOKUP(J16,Minimas!$G$15:$L$29,4),IF(AND(G16&gt;=U15_Min,G16&lt;=U15_Max),VLOOKUP(J16,Minimas!$G$15:$L$29,3),VLOOKUP(J16,Minimas!$G$15:$L$29,2)))))))</f>
        <v>SE M88</v>
      </c>
      <c r="V16" s="74">
        <f t="shared" si="0"/>
        <v>163.89315246155539</v>
      </c>
      <c r="Z16" s="32"/>
      <c r="AA16" s="166">
        <f>$S16-HLOOKUP($U16,Minimas!$C$3:$BO$11,2,FALSE)</f>
        <v>7</v>
      </c>
      <c r="AB16" s="166">
        <f>$S16-HLOOKUP($U16,Minimas!$C$3:$BO$11,3,FALSE)</f>
        <v>-28</v>
      </c>
      <c r="AC16" s="166">
        <f>$S16-HLOOKUP($U16,Minimas!$C$3:$BO$11,4,FALSE)</f>
        <v>-63</v>
      </c>
      <c r="AD16" s="166">
        <f>$S16-HLOOKUP($U16,Minimas!$C$3:$BO$11,5,FALSE)</f>
        <v>-98</v>
      </c>
      <c r="AE16" s="166">
        <f>$S16-HLOOKUP($U16,Minimas!$C$3:$BO$11,6,FALSE)</f>
        <v>-126</v>
      </c>
      <c r="AF16" s="166">
        <f>$S16-HLOOKUP($U16,Minimas!$C$3:$BO$11,7,FALSE)</f>
        <v>-150</v>
      </c>
      <c r="AG16" s="166">
        <f>$S16-HLOOKUP($U16,Minimas!$C$3:$BO$11,8,FALSE)</f>
        <v>-210</v>
      </c>
      <c r="AH16" s="166">
        <f>$S16-HLOOKUP($U16,Minimas!$C$3:$BO$11,9,FALSE)</f>
        <v>-220</v>
      </c>
      <c r="AI16" s="166"/>
      <c r="AJ16" s="163" t="str">
        <f t="shared" si="1"/>
        <v>DEB</v>
      </c>
      <c r="AK16" s="163"/>
      <c r="AL16" s="163" t="str">
        <f t="shared" si="2"/>
        <v>DEB</v>
      </c>
      <c r="AM16" s="166">
        <f t="shared" si="3"/>
        <v>7</v>
      </c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</row>
    <row r="17" spans="1:123" s="5" customFormat="1" ht="34.950000000000003" customHeight="1" thickBot="1">
      <c r="B17" s="131"/>
      <c r="C17" s="75"/>
      <c r="D17" s="127"/>
      <c r="E17" s="76" t="s">
        <v>51</v>
      </c>
      <c r="F17" s="77"/>
      <c r="G17" s="78"/>
      <c r="H17" s="136">
        <f>SUM(V13:V17)</f>
        <v>1308.105527004921</v>
      </c>
      <c r="I17" s="76" t="s">
        <v>36</v>
      </c>
      <c r="J17" s="79">
        <v>72</v>
      </c>
      <c r="K17" s="80">
        <v>70</v>
      </c>
      <c r="L17" s="81"/>
      <c r="M17" s="82"/>
      <c r="N17" s="90">
        <f>IF(E17="","",IF(MAXA(K17:M17)&lt;=0,0,MAXA(K17:M17)))</f>
        <v>70</v>
      </c>
      <c r="O17" s="80">
        <v>90</v>
      </c>
      <c r="P17" s="81"/>
      <c r="Q17" s="82"/>
      <c r="R17" s="90">
        <f>IF(E17="","",IF(MAXA(O17:Q17)&lt;=0,0,MAXA(O17:Q17)))</f>
        <v>90</v>
      </c>
      <c r="S17" s="83">
        <f>IF(E17="","",N17+R17)</f>
        <v>160</v>
      </c>
      <c r="T17" s="84" t="str">
        <f>+CONCATENATE(AL17," ",AM17)</f>
        <v>IRG + 12</v>
      </c>
      <c r="U17" s="84" t="str">
        <f>IF(E17=0," ",IF(E17="H",IF(G17&lt;=SENIORS_Min,VLOOKUP(J17,Minimas!$A$15:$F$29,6),IF(AND(G17&gt;=U20_Min,G17&lt;=U20_Max),VLOOKUP(J17,Minimas!$A$15:$F$29,5),IF(AND(G17&gt;=U17_Min,G17&lt;=U17_Max),VLOOKUP(J17,Minimas!$A$15:$F$29,4),IF(AND(G17&gt;=U15_Min,G17&lt;=U15_Max),VLOOKUP(J17,Minimas!$A$15:$F$29,3),VLOOKUP(J17,Minimas!$A$15:$F$29,2))))),IF(G17&lt;=SENIORS_Min,VLOOKUP(J17,Minimas!$G$15:$L$29,6),IF(AND(G17&gt;=U20_Min,G17&lt;=U20_Max),VLOOKUP(J17,Minimas!$G$15:$L$29,5),IF(AND(G17&gt;=U17_Min,G17&lt;=U17_Max),VLOOKUP(J17,Minimas!$G$15:$L$29,4),IF(AND(G17&gt;=U15_Min,G17&lt;=U15_Max),VLOOKUP(J17,Minimas!$G$15:$L$29,3),VLOOKUP(J17,Minimas!$G$15:$L$29,2)))))))</f>
        <v>SE F77</v>
      </c>
      <c r="V17" s="85">
        <f t="shared" si="0"/>
        <v>292.18488429186294</v>
      </c>
      <c r="Z17" s="32"/>
      <c r="AA17" s="166">
        <f>$S17-HLOOKUP($U17,Minimas!$C$3:$BO$11,2,FALSE)</f>
        <v>80</v>
      </c>
      <c r="AB17" s="166">
        <f>$S17-HLOOKUP($U17,Minimas!$C$3:$BO$11,3,FALSE)</f>
        <v>57</v>
      </c>
      <c r="AC17" s="166">
        <f>$S17-HLOOKUP($U17,Minimas!$C$3:$BO$11,4,FALSE)</f>
        <v>35</v>
      </c>
      <c r="AD17" s="166">
        <f>$S17-HLOOKUP($U17,Minimas!$C$3:$BO$11,5,FALSE)</f>
        <v>12</v>
      </c>
      <c r="AE17" s="166">
        <f>$S17-HLOOKUP($U17,Minimas!$C$3:$BO$11,6,FALSE)</f>
        <v>-6</v>
      </c>
      <c r="AF17" s="166">
        <f>$S17-HLOOKUP($U17,Minimas!$C$3:$BO$11,7,FALSE)</f>
        <v>-22</v>
      </c>
      <c r="AG17" s="166">
        <f>$S17-HLOOKUP($U17,Minimas!$C$3:$BO$11,8,FALSE)</f>
        <v>-61</v>
      </c>
      <c r="AH17" s="166">
        <f>$S17-HLOOKUP($U17,Minimas!$C$3:$BO$11,9,FALSE)</f>
        <v>-68</v>
      </c>
      <c r="AI17" s="166"/>
      <c r="AJ17" s="163" t="str">
        <f t="shared" si="1"/>
        <v>IRG +</v>
      </c>
      <c r="AK17" s="163"/>
      <c r="AL17" s="163" t="str">
        <f t="shared" si="2"/>
        <v>IRG +</v>
      </c>
      <c r="AM17" s="166">
        <f t="shared" si="3"/>
        <v>12</v>
      </c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</row>
    <row r="18" spans="1:123" s="5" customFormat="1" ht="8.4" customHeight="1" thickBot="1">
      <c r="B18" s="96"/>
      <c r="C18" s="16"/>
      <c r="D18" s="97"/>
      <c r="E18" s="98"/>
      <c r="F18" s="99"/>
      <c r="G18" s="100"/>
      <c r="H18" s="98"/>
      <c r="I18" s="98"/>
      <c r="J18" s="101"/>
      <c r="K18" s="102"/>
      <c r="L18" s="102"/>
      <c r="M18" s="102"/>
      <c r="N18" s="103"/>
      <c r="O18" s="102"/>
      <c r="P18" s="102"/>
      <c r="Q18" s="102"/>
      <c r="R18" s="103"/>
      <c r="S18" s="104"/>
      <c r="T18" s="105"/>
      <c r="U18" s="105"/>
      <c r="V18" s="95"/>
      <c r="Z18" s="32"/>
      <c r="AA18" s="166" t="e">
        <f>$S18-HLOOKUP($U18,Minimas!$C$3:$BO$11,2,FALSE)</f>
        <v>#N/A</v>
      </c>
      <c r="AB18" s="166" t="e">
        <f>$S18-HLOOKUP($U18,Minimas!$C$3:$BO$11,3,FALSE)</f>
        <v>#N/A</v>
      </c>
      <c r="AC18" s="166" t="e">
        <f>$S18-HLOOKUP($U18,Minimas!$C$3:$BO$11,4,FALSE)</f>
        <v>#N/A</v>
      </c>
      <c r="AD18" s="166" t="e">
        <f>$S18-HLOOKUP($U18,Minimas!$C$3:$BO$11,5,FALSE)</f>
        <v>#N/A</v>
      </c>
      <c r="AE18" s="166" t="e">
        <f>$S18-HLOOKUP($U18,Minimas!$C$3:$BO$11,6,FALSE)</f>
        <v>#N/A</v>
      </c>
      <c r="AF18" s="166" t="e">
        <f>$S18-HLOOKUP($U18,Minimas!$C$3:$BO$11,7,FALSE)</f>
        <v>#N/A</v>
      </c>
      <c r="AG18" s="166" t="e">
        <f>$S18-HLOOKUP($U18,Minimas!$C$3:$BO$11,8,FALSE)</f>
        <v>#N/A</v>
      </c>
      <c r="AH18" s="166" t="e">
        <f>$S18-HLOOKUP($U18,Minimas!$C$3:$BO$11,9,FALSE)</f>
        <v>#N/A</v>
      </c>
      <c r="AI18" s="166"/>
      <c r="AJ18" s="163" t="str">
        <f t="shared" si="1"/>
        <v xml:space="preserve"> </v>
      </c>
      <c r="AK18" s="163"/>
      <c r="AL18" s="163" t="str">
        <f t="shared" si="2"/>
        <v xml:space="preserve"> </v>
      </c>
      <c r="AM18" s="166" t="str">
        <f t="shared" si="3"/>
        <v xml:space="preserve"> </v>
      </c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</row>
    <row r="19" spans="1:123" s="5" customFormat="1" ht="34.950000000000003" customHeight="1">
      <c r="B19" s="128" t="s">
        <v>53</v>
      </c>
      <c r="C19" s="53"/>
      <c r="D19" s="137">
        <f>IF(H22="","",RANK(H22,$Y$32:$Y$35,0))</f>
        <v>2</v>
      </c>
      <c r="E19" s="54" t="s">
        <v>51</v>
      </c>
      <c r="F19" s="55"/>
      <c r="G19" s="56"/>
      <c r="H19" s="132"/>
      <c r="I19" s="54"/>
      <c r="J19" s="57">
        <v>69</v>
      </c>
      <c r="K19" s="58">
        <v>90</v>
      </c>
      <c r="L19" s="59"/>
      <c r="M19" s="60"/>
      <c r="N19" s="88">
        <f>IF(E19="","",IF(MAXA(K19:M19)&lt;=0,0,MAXA(K19:M19)))</f>
        <v>90</v>
      </c>
      <c r="O19" s="58">
        <v>115</v>
      </c>
      <c r="P19" s="59"/>
      <c r="Q19" s="60"/>
      <c r="R19" s="88">
        <f>IF(E19="","",IF(MAXA(O19:Q19)&lt;=0,0,MAXA(O19:Q19)))</f>
        <v>115</v>
      </c>
      <c r="S19" s="61">
        <f>IF(E19="","",N19+R19)</f>
        <v>205</v>
      </c>
      <c r="T19" s="62" t="str">
        <f>+CONCATENATE(AL19," ",AM19)</f>
        <v>NAT + 29</v>
      </c>
      <c r="U19" s="62" t="str">
        <f>IF(E19=0," ",IF(E19="H",IF(G19&lt;=SENIORS_Min,VLOOKUP(J19,Minimas!$A$15:$F$29,6),IF(AND(G19&gt;=U20_Min,G19&lt;=U20_Max),VLOOKUP(J19,Minimas!$A$15:$F$29,5),IF(AND(G19&gt;=U17_Min,G19&lt;=U17_Max),VLOOKUP(J19,Minimas!$A$15:$F$29,4),IF(AND(G19&gt;=U15_Min,G19&lt;=U15_Max),VLOOKUP(J19,Minimas!$A$15:$F$29,3),VLOOKUP(J19,Minimas!$A$15:$F$29,2))))),IF(G19&lt;=SENIORS_Min,VLOOKUP(J19,Minimas!$G$15:$L$29,6),IF(AND(G19&gt;=U20_Min,G19&lt;=U20_Max),VLOOKUP(J19,Minimas!$G$15:$L$29,5),IF(AND(G19&gt;=U17_Min,G19&lt;=U17_Max),VLOOKUP(J19,Minimas!$G$15:$L$29,4),IF(AND(G19&gt;=U15_Min,G19&lt;=U15_Max),VLOOKUP(J19,Minimas!$G$15:$L$29,3),VLOOKUP(J19,Minimas!$G$15:$L$29,2)))))))</f>
        <v>SE F69</v>
      </c>
      <c r="V19" s="63">
        <f>IF(E19=" "," ",IF(E19="H",10^(0.722762521*LOG(J19/193.609)^2)*S19,IF(E19="F",10^(0.787004341* LOG(J19/153.757)^2)*S19*1.5,"")))</f>
        <v>382.9540961285461</v>
      </c>
      <c r="Z19" s="32"/>
      <c r="AA19" s="166">
        <f>$S19-HLOOKUP($U19,Minimas!$C$3:$BO$11,2,FALSE)</f>
        <v>128</v>
      </c>
      <c r="AB19" s="166">
        <f>$S19-HLOOKUP($U19,Minimas!$C$3:$BO$11,3,FALSE)</f>
        <v>106</v>
      </c>
      <c r="AC19" s="166">
        <f>$S19-HLOOKUP($U19,Minimas!$C$3:$BO$11,4,FALSE)</f>
        <v>84</v>
      </c>
      <c r="AD19" s="166">
        <f>$S19-HLOOKUP($U19,Minimas!$C$3:$BO$11,5,FALSE)</f>
        <v>62</v>
      </c>
      <c r="AE19" s="166">
        <f>$S19-HLOOKUP($U19,Minimas!$C$3:$BO$11,6,FALSE)</f>
        <v>44</v>
      </c>
      <c r="AF19" s="166">
        <f>$S19-HLOOKUP($U19,Minimas!$C$3:$BO$11,7,FALSE)</f>
        <v>29</v>
      </c>
      <c r="AG19" s="166">
        <f>$S19-HLOOKUP($U19,Minimas!$C$3:$BO$11,8,FALSE)</f>
        <v>-8</v>
      </c>
      <c r="AH19" s="166">
        <f>$S19-HLOOKUP($U19,Minimas!$C$3:$BO$11,9,FALSE)</f>
        <v>-15</v>
      </c>
      <c r="AI19" s="166"/>
      <c r="AJ19" s="163" t="str">
        <f t="shared" si="1"/>
        <v>NAT +</v>
      </c>
      <c r="AK19" s="163"/>
      <c r="AL19" s="163" t="str">
        <f t="shared" si="2"/>
        <v>NAT +</v>
      </c>
      <c r="AM19" s="166">
        <f t="shared" si="3"/>
        <v>29</v>
      </c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</row>
    <row r="20" spans="1:123" s="5" customFormat="1" ht="34.950000000000003" customHeight="1">
      <c r="B20" s="129"/>
      <c r="C20" s="64"/>
      <c r="D20" s="138"/>
      <c r="E20" s="65" t="s">
        <v>50</v>
      </c>
      <c r="F20" s="66"/>
      <c r="G20" s="67"/>
      <c r="H20" s="133"/>
      <c r="I20" s="65"/>
      <c r="J20" s="68">
        <v>65</v>
      </c>
      <c r="K20" s="69">
        <v>65</v>
      </c>
      <c r="L20" s="70"/>
      <c r="M20" s="71"/>
      <c r="N20" s="89">
        <f>IF(E20="","",IF(MAXA(K20:M20)&lt;=0,0,MAXA(K20:M20)))</f>
        <v>65</v>
      </c>
      <c r="O20" s="69">
        <v>80</v>
      </c>
      <c r="P20" s="70"/>
      <c r="Q20" s="71"/>
      <c r="R20" s="89">
        <f>IF(E20="","",IF(MAXA(O20:Q20)&lt;=0,0,MAXA(O20:Q20)))</f>
        <v>80</v>
      </c>
      <c r="S20" s="72">
        <f>IF(E20="","",N20+R20)</f>
        <v>145</v>
      </c>
      <c r="T20" s="73" t="str">
        <f>+CONCATENATE(AL20," ",AM20)</f>
        <v>DPT + 16</v>
      </c>
      <c r="U20" s="73" t="str">
        <f>IF(E20=0," ",IF(E20="H",IF(G20&lt;=SENIORS_Min,VLOOKUP(J20,Minimas!$A$15:$F$29,6),IF(AND(G20&gt;=U20_Min,G20&lt;=U20_Max),VLOOKUP(J20,Minimas!$A$15:$F$29,5),IF(AND(G20&gt;=U17_Min,G20&lt;=U17_Max),VLOOKUP(J20,Minimas!$A$15:$F$29,4),IF(AND(G20&gt;=U15_Min,G20&lt;=U15_Max),VLOOKUP(J20,Minimas!$A$15:$F$29,3),VLOOKUP(J20,Minimas!$A$15:$F$29,2))))),IF(G20&lt;=SENIORS_Min,VLOOKUP(J20,Minimas!$G$15:$L$29,6),IF(AND(G20&gt;=U20_Min,G20&lt;=U20_Max),VLOOKUP(J20,Minimas!$G$15:$L$29,5),IF(AND(G20&gt;=U17_Min,G20&lt;=U17_Max),VLOOKUP(J20,Minimas!$G$15:$L$29,4),IF(AND(G20&gt;=U15_Min,G20&lt;=U15_Max),VLOOKUP(J20,Minimas!$G$15:$L$29,3),VLOOKUP(J20,Minimas!$G$15:$L$29,2)))))))</f>
        <v>SE M65</v>
      </c>
      <c r="V20" s="74">
        <f t="shared" ref="V20:V23" si="6">IF(E20=" "," ",IF(E20="H",10^(0.722762521*LOG(J20/193.609)^2)*S20,IF(E20="F",10^(0.787004341* LOG(J20/153.757)^2)*S20*1.5,"")))</f>
        <v>210.7481366860238</v>
      </c>
      <c r="Z20" s="32"/>
      <c r="AA20" s="166">
        <f>$S20-HLOOKUP($U20,Minimas!$C$3:$BO$11,2,FALSE)</f>
        <v>45</v>
      </c>
      <c r="AB20" s="166">
        <f>$S20-HLOOKUP($U20,Minimas!$C$3:$BO$11,3,FALSE)</f>
        <v>16</v>
      </c>
      <c r="AC20" s="166">
        <f>$S20-HLOOKUP($U20,Minimas!$C$3:$BO$11,4,FALSE)</f>
        <v>-12</v>
      </c>
      <c r="AD20" s="166">
        <f>$S20-HLOOKUP($U20,Minimas!$C$3:$BO$11,5,FALSE)</f>
        <v>-41</v>
      </c>
      <c r="AE20" s="166">
        <f>$S20-HLOOKUP($U20,Minimas!$C$3:$BO$11,6,FALSE)</f>
        <v>-64</v>
      </c>
      <c r="AF20" s="166">
        <f>$S20-HLOOKUP($U20,Minimas!$C$3:$BO$11,7,FALSE)</f>
        <v>-84</v>
      </c>
      <c r="AG20" s="166">
        <f>$S20-HLOOKUP($U20,Minimas!$C$3:$BO$11,8,FALSE)</f>
        <v>-132</v>
      </c>
      <c r="AH20" s="166">
        <f>$S20-HLOOKUP($U20,Minimas!$C$3:$BO$11,9,FALSE)</f>
        <v>-141</v>
      </c>
      <c r="AI20" s="166"/>
      <c r="AJ20" s="163" t="str">
        <f t="shared" si="1"/>
        <v>DPT +</v>
      </c>
      <c r="AK20" s="163"/>
      <c r="AL20" s="163" t="str">
        <f t="shared" si="2"/>
        <v>DPT +</v>
      </c>
      <c r="AM20" s="166">
        <f t="shared" si="3"/>
        <v>16</v>
      </c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</row>
    <row r="21" spans="1:123" s="5" customFormat="1" ht="34.950000000000003" customHeight="1">
      <c r="B21" s="130"/>
      <c r="C21" s="64"/>
      <c r="D21" s="138"/>
      <c r="E21" s="65" t="s">
        <v>51</v>
      </c>
      <c r="F21" s="66"/>
      <c r="G21" s="67"/>
      <c r="H21" s="134"/>
      <c r="I21" s="65"/>
      <c r="J21" s="68">
        <v>62</v>
      </c>
      <c r="K21" s="69">
        <v>70</v>
      </c>
      <c r="L21" s="70"/>
      <c r="M21" s="71"/>
      <c r="N21" s="89">
        <f>IF(E21="","",IF(MAXA(K21:M21)&lt;=0,0,MAXA(K21:M21)))</f>
        <v>70</v>
      </c>
      <c r="O21" s="69">
        <v>90</v>
      </c>
      <c r="P21" s="70"/>
      <c r="Q21" s="71"/>
      <c r="R21" s="89">
        <f>IF(E21="","",IF(MAXA(O21:Q21)&lt;=0,0,MAXA(O21:Q21)))</f>
        <v>90</v>
      </c>
      <c r="S21" s="72">
        <f>IF(E21="","",N21+R21)</f>
        <v>160</v>
      </c>
      <c r="T21" s="73" t="str">
        <f t="shared" ref="T21:T22" si="7">+CONCATENATE(AL21," ",AM21)</f>
        <v>HON + 6</v>
      </c>
      <c r="U21" s="73" t="str">
        <f>IF(E21=0," ",IF(E21="H",IF(G21&lt;=SENIORS_Min,VLOOKUP(J21,Minimas!$A$15:$F$29,6),IF(AND(G21&gt;=U20_Min,G21&lt;=U20_Max),VLOOKUP(J21,Minimas!$A$15:$F$29,5),IF(AND(G21&gt;=U17_Min,G21&lt;=U17_Max),VLOOKUP(J21,Minimas!$A$15:$F$29,4),IF(AND(G21&gt;=U15_Min,G21&lt;=U15_Max),VLOOKUP(J21,Minimas!$A$15:$F$29,3),VLOOKUP(J21,Minimas!$A$15:$F$29,2))))),IF(G21&lt;=SENIORS_Min,VLOOKUP(J21,Minimas!$G$15:$L$29,6),IF(AND(G21&gt;=U20_Min,G21&lt;=U20_Max),VLOOKUP(J21,Minimas!$G$15:$L$29,5),IF(AND(G21&gt;=U17_Min,G21&lt;=U17_Max),VLOOKUP(J21,Minimas!$G$15:$L$29,4),IF(AND(G21&gt;=U15_Min,G21&lt;=U15_Max),VLOOKUP(J21,Minimas!$G$15:$L$29,3),VLOOKUP(J21,Minimas!$G$15:$L$29,2)))))))</f>
        <v>SE F63</v>
      </c>
      <c r="V21" s="74">
        <f t="shared" si="6"/>
        <v>318.16885227878356</v>
      </c>
      <c r="Z21" s="32"/>
      <c r="AA21" s="166">
        <f>$S21-HLOOKUP($U21,Minimas!$C$3:$BO$11,2,FALSE)</f>
        <v>86</v>
      </c>
      <c r="AB21" s="166">
        <f>$S21-HLOOKUP($U21,Minimas!$C$3:$BO$11,3,FALSE)</f>
        <v>65</v>
      </c>
      <c r="AC21" s="166">
        <f>$S21-HLOOKUP($U21,Minimas!$C$3:$BO$11,4,FALSE)</f>
        <v>44</v>
      </c>
      <c r="AD21" s="166">
        <f>$S21-HLOOKUP($U21,Minimas!$C$3:$BO$11,5,FALSE)</f>
        <v>23</v>
      </c>
      <c r="AE21" s="166">
        <f>$S21-HLOOKUP($U21,Minimas!$C$3:$BO$11,6,FALSE)</f>
        <v>6</v>
      </c>
      <c r="AF21" s="166">
        <f>$S21-HLOOKUP($U21,Minimas!$C$3:$BO$11,7,FALSE)</f>
        <v>-9</v>
      </c>
      <c r="AG21" s="166">
        <f>$S21-HLOOKUP($U21,Minimas!$C$3:$BO$11,8,FALSE)</f>
        <v>-45</v>
      </c>
      <c r="AH21" s="166">
        <f>$S21-HLOOKUP($U21,Minimas!$C$3:$BO$11,9,FALSE)</f>
        <v>-51</v>
      </c>
      <c r="AI21" s="166"/>
      <c r="AJ21" s="163" t="str">
        <f t="shared" si="1"/>
        <v>HON +</v>
      </c>
      <c r="AK21" s="163"/>
      <c r="AL21" s="163" t="str">
        <f t="shared" si="2"/>
        <v>HON +</v>
      </c>
      <c r="AM21" s="166">
        <f t="shared" si="3"/>
        <v>6</v>
      </c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</row>
    <row r="22" spans="1:123" s="5" customFormat="1" ht="34.950000000000003" customHeight="1">
      <c r="B22" s="130"/>
      <c r="C22" s="64"/>
      <c r="D22" s="138"/>
      <c r="E22" s="65" t="s">
        <v>50</v>
      </c>
      <c r="F22" s="66"/>
      <c r="G22" s="67"/>
      <c r="H22" s="135">
        <f>SUM(V19:V23)</f>
        <v>1367.949121846772</v>
      </c>
      <c r="I22" s="65" t="s">
        <v>36</v>
      </c>
      <c r="J22" s="68">
        <v>82</v>
      </c>
      <c r="K22" s="69">
        <v>55</v>
      </c>
      <c r="L22" s="70"/>
      <c r="M22" s="71"/>
      <c r="N22" s="89">
        <f>IF(E22="","",IF(MAXA(K22:M22)&lt;=0,0,MAXA(K22:M22)))</f>
        <v>55</v>
      </c>
      <c r="O22" s="69">
        <v>75</v>
      </c>
      <c r="P22" s="70"/>
      <c r="Q22" s="71"/>
      <c r="R22" s="89">
        <f>IF(E22="","",IF(MAXA(O22:Q22)&lt;=0,0,MAXA(O22:Q22)))</f>
        <v>75</v>
      </c>
      <c r="S22" s="72">
        <f>IF(E22="","",N22+R22)</f>
        <v>130</v>
      </c>
      <c r="T22" s="73" t="str">
        <f t="shared" si="7"/>
        <v>DEB 7</v>
      </c>
      <c r="U22" s="73" t="str">
        <f>IF(E22=0," ",IF(E22="H",IF(G22&lt;=SENIORS_Min,VLOOKUP(J22,Minimas!$A$15:$F$29,6),IF(AND(G22&gt;=U20_Min,G22&lt;=U20_Max),VLOOKUP(J22,Minimas!$A$15:$F$29,5),IF(AND(G22&gt;=U17_Min,G22&lt;=U17_Max),VLOOKUP(J22,Minimas!$A$15:$F$29,4),IF(AND(G22&gt;=U15_Min,G22&lt;=U15_Max),VLOOKUP(J22,Minimas!$A$15:$F$29,3),VLOOKUP(J22,Minimas!$A$15:$F$29,2))))),IF(G22&lt;=SENIORS_Min,VLOOKUP(J22,Minimas!$G$15:$L$29,6),IF(AND(G22&gt;=U20_Min,G22&lt;=U20_Max),VLOOKUP(J22,Minimas!$G$15:$L$29,5),IF(AND(G22&gt;=U17_Min,G22&lt;=U17_Max),VLOOKUP(J22,Minimas!$G$15:$L$29,4),IF(AND(G22&gt;=U15_Min,G22&lt;=U15_Max),VLOOKUP(J22,Minimas!$G$15:$L$29,3),VLOOKUP(J22,Minimas!$G$15:$L$29,2)))))))</f>
        <v>SE M88</v>
      </c>
      <c r="V22" s="74">
        <f t="shared" si="6"/>
        <v>163.89315246155539</v>
      </c>
      <c r="Z22" s="32"/>
      <c r="AA22" s="166">
        <f>$S22-HLOOKUP($U22,Minimas!$C$3:$BO$11,2,FALSE)</f>
        <v>7</v>
      </c>
      <c r="AB22" s="166">
        <f>$S22-HLOOKUP($U22,Minimas!$C$3:$BO$11,3,FALSE)</f>
        <v>-28</v>
      </c>
      <c r="AC22" s="166">
        <f>$S22-HLOOKUP($U22,Minimas!$C$3:$BO$11,4,FALSE)</f>
        <v>-63</v>
      </c>
      <c r="AD22" s="166">
        <f>$S22-HLOOKUP($U22,Minimas!$C$3:$BO$11,5,FALSE)</f>
        <v>-98</v>
      </c>
      <c r="AE22" s="166">
        <f>$S22-HLOOKUP($U22,Minimas!$C$3:$BO$11,6,FALSE)</f>
        <v>-126</v>
      </c>
      <c r="AF22" s="166">
        <f>$S22-HLOOKUP($U22,Minimas!$C$3:$BO$11,7,FALSE)</f>
        <v>-150</v>
      </c>
      <c r="AG22" s="166">
        <f>$S22-HLOOKUP($U22,Minimas!$C$3:$BO$11,8,FALSE)</f>
        <v>-210</v>
      </c>
      <c r="AH22" s="166">
        <f>$S22-HLOOKUP($U22,Minimas!$C$3:$BO$11,9,FALSE)</f>
        <v>-220</v>
      </c>
      <c r="AI22" s="166"/>
      <c r="AJ22" s="163" t="str">
        <f t="shared" si="1"/>
        <v>DEB</v>
      </c>
      <c r="AK22" s="163"/>
      <c r="AL22" s="163" t="str">
        <f t="shared" si="2"/>
        <v>DEB</v>
      </c>
      <c r="AM22" s="166">
        <f t="shared" si="3"/>
        <v>7</v>
      </c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</row>
    <row r="23" spans="1:123" s="5" customFormat="1" ht="34.950000000000003" customHeight="1" thickBot="1">
      <c r="B23" s="131"/>
      <c r="C23" s="75"/>
      <c r="D23" s="139"/>
      <c r="E23" s="76" t="s">
        <v>51</v>
      </c>
      <c r="F23" s="77"/>
      <c r="G23" s="78"/>
      <c r="H23" s="136">
        <f>SUM(V19:V23)</f>
        <v>1367.949121846772</v>
      </c>
      <c r="I23" s="76" t="s">
        <v>36</v>
      </c>
      <c r="J23" s="79">
        <v>72</v>
      </c>
      <c r="K23" s="80">
        <v>70</v>
      </c>
      <c r="L23" s="81"/>
      <c r="M23" s="82"/>
      <c r="N23" s="90">
        <f>IF(E23="","",IF(MAXA(K23:M23)&lt;=0,0,MAXA(K23:M23)))</f>
        <v>70</v>
      </c>
      <c r="O23" s="80">
        <v>90</v>
      </c>
      <c r="P23" s="81"/>
      <c r="Q23" s="82"/>
      <c r="R23" s="90">
        <f>IF(E23="","",IF(MAXA(O23:Q23)&lt;=0,0,MAXA(O23:Q23)))</f>
        <v>90</v>
      </c>
      <c r="S23" s="83">
        <f>IF(E23="","",N23+R23)</f>
        <v>160</v>
      </c>
      <c r="T23" s="84" t="str">
        <f>+CONCATENATE(AL23," ",AM23)</f>
        <v>IRG + 12</v>
      </c>
      <c r="U23" s="84" t="str">
        <f>IF(E23=0," ",IF(E23="H",IF(G23&lt;=SENIORS_Min,VLOOKUP(J23,Minimas!$A$15:$F$29,6),IF(AND(G23&gt;=U20_Min,G23&lt;=U20_Max),VLOOKUP(J23,Minimas!$A$15:$F$29,5),IF(AND(G23&gt;=U17_Min,G23&lt;=U17_Max),VLOOKUP(J23,Minimas!$A$15:$F$29,4),IF(AND(G23&gt;=U15_Min,G23&lt;=U15_Max),VLOOKUP(J23,Minimas!$A$15:$F$29,3),VLOOKUP(J23,Minimas!$A$15:$F$29,2))))),IF(G23&lt;=SENIORS_Min,VLOOKUP(J23,Minimas!$G$15:$L$29,6),IF(AND(G23&gt;=U20_Min,G23&lt;=U20_Max),VLOOKUP(J23,Minimas!$G$15:$L$29,5),IF(AND(G23&gt;=U17_Min,G23&lt;=U17_Max),VLOOKUP(J23,Minimas!$G$15:$L$29,4),IF(AND(G23&gt;=U15_Min,G23&lt;=U15_Max),VLOOKUP(J23,Minimas!$G$15:$L$29,3),VLOOKUP(J23,Minimas!$G$15:$L$29,2)))))))</f>
        <v>SE F77</v>
      </c>
      <c r="V23" s="85">
        <f t="shared" si="6"/>
        <v>292.18488429186294</v>
      </c>
      <c r="Z23" s="32"/>
      <c r="AA23" s="166">
        <f>$S23-HLOOKUP($U23,Minimas!$C$3:$BO$11,2,FALSE)</f>
        <v>80</v>
      </c>
      <c r="AB23" s="166">
        <f>$S23-HLOOKUP($U23,Minimas!$C$3:$BO$11,3,FALSE)</f>
        <v>57</v>
      </c>
      <c r="AC23" s="166">
        <f>$S23-HLOOKUP($U23,Minimas!$C$3:$BO$11,4,FALSE)</f>
        <v>35</v>
      </c>
      <c r="AD23" s="166">
        <f>$S23-HLOOKUP($U23,Minimas!$C$3:$BO$11,5,FALSE)</f>
        <v>12</v>
      </c>
      <c r="AE23" s="166">
        <f>$S23-HLOOKUP($U23,Minimas!$C$3:$BO$11,6,FALSE)</f>
        <v>-6</v>
      </c>
      <c r="AF23" s="166">
        <f>$S23-HLOOKUP($U23,Minimas!$C$3:$BO$11,7,FALSE)</f>
        <v>-22</v>
      </c>
      <c r="AG23" s="166">
        <f>$S23-HLOOKUP($U23,Minimas!$C$3:$BO$11,8,FALSE)</f>
        <v>-61</v>
      </c>
      <c r="AH23" s="166">
        <f>$S23-HLOOKUP($U23,Minimas!$C$3:$BO$11,9,FALSE)</f>
        <v>-68</v>
      </c>
      <c r="AI23" s="166"/>
      <c r="AJ23" s="163" t="str">
        <f t="shared" si="1"/>
        <v>IRG +</v>
      </c>
      <c r="AK23" s="163"/>
      <c r="AL23" s="163" t="str">
        <f t="shared" si="2"/>
        <v>IRG +</v>
      </c>
      <c r="AM23" s="166">
        <f t="shared" si="3"/>
        <v>12</v>
      </c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</row>
    <row r="24" spans="1:123" s="5" customFormat="1" ht="9" customHeight="1" thickBot="1">
      <c r="B24" s="96"/>
      <c r="C24" s="16"/>
      <c r="D24" s="97"/>
      <c r="E24" s="98"/>
      <c r="F24" s="99"/>
      <c r="G24" s="100"/>
      <c r="H24" s="101"/>
      <c r="I24" s="98"/>
      <c r="J24" s="101"/>
      <c r="K24" s="102"/>
      <c r="L24" s="102"/>
      <c r="M24" s="102"/>
      <c r="N24" s="103"/>
      <c r="O24" s="102"/>
      <c r="P24" s="102"/>
      <c r="Q24" s="102"/>
      <c r="R24" s="103"/>
      <c r="S24" s="104"/>
      <c r="T24" s="105"/>
      <c r="U24" s="105"/>
      <c r="V24" s="95"/>
      <c r="Z24" s="32"/>
      <c r="AA24" s="166" t="e">
        <f>$S24-HLOOKUP($U24,Minimas!$C$3:$BO$11,2,FALSE)</f>
        <v>#N/A</v>
      </c>
      <c r="AB24" s="166" t="e">
        <f>$S24-HLOOKUP($U24,Minimas!$C$3:$BO$11,3,FALSE)</f>
        <v>#N/A</v>
      </c>
      <c r="AC24" s="166" t="e">
        <f>$S24-HLOOKUP($U24,Minimas!$C$3:$BO$11,4,FALSE)</f>
        <v>#N/A</v>
      </c>
      <c r="AD24" s="166" t="e">
        <f>$S24-HLOOKUP($U24,Minimas!$C$3:$BO$11,5,FALSE)</f>
        <v>#N/A</v>
      </c>
      <c r="AE24" s="166" t="e">
        <f>$S24-HLOOKUP($U24,Minimas!$C$3:$BO$11,6,FALSE)</f>
        <v>#N/A</v>
      </c>
      <c r="AF24" s="166" t="e">
        <f>$S24-HLOOKUP($U24,Minimas!$C$3:$BO$11,7,FALSE)</f>
        <v>#N/A</v>
      </c>
      <c r="AG24" s="166" t="e">
        <f>$S24-HLOOKUP($U24,Minimas!$C$3:$BO$11,8,FALSE)</f>
        <v>#N/A</v>
      </c>
      <c r="AH24" s="166" t="e">
        <f>$S24-HLOOKUP($U24,Minimas!$C$3:$BO$11,9,FALSE)</f>
        <v>#N/A</v>
      </c>
      <c r="AI24" s="166"/>
      <c r="AJ24" s="163" t="str">
        <f t="shared" si="1"/>
        <v xml:space="preserve"> </v>
      </c>
      <c r="AK24" s="163"/>
      <c r="AL24" s="163" t="str">
        <f t="shared" si="2"/>
        <v xml:space="preserve"> </v>
      </c>
      <c r="AM24" s="166" t="str">
        <f t="shared" si="3"/>
        <v xml:space="preserve"> </v>
      </c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</row>
    <row r="25" spans="1:123" s="5" customFormat="1" ht="34.950000000000003" customHeight="1">
      <c r="B25" s="128" t="s">
        <v>53</v>
      </c>
      <c r="C25" s="53"/>
      <c r="D25" s="137">
        <f>IF(H28="","",RANK(H28,$Y$32:$Y$35,0))</f>
        <v>1</v>
      </c>
      <c r="E25" s="54" t="s">
        <v>51</v>
      </c>
      <c r="F25" s="55"/>
      <c r="G25" s="56"/>
      <c r="H25" s="132"/>
      <c r="I25" s="54"/>
      <c r="J25" s="57">
        <v>63</v>
      </c>
      <c r="K25" s="58">
        <v>90</v>
      </c>
      <c r="L25" s="59"/>
      <c r="M25" s="60"/>
      <c r="N25" s="88">
        <f>IF(E25="","",IF(MAXA(K25:M25)&lt;=0,0,MAXA(K25:M25)))</f>
        <v>90</v>
      </c>
      <c r="O25" s="58">
        <v>115</v>
      </c>
      <c r="P25" s="59"/>
      <c r="Q25" s="60"/>
      <c r="R25" s="88">
        <f>IF(E25="","",IF(MAXA(O25:Q25)&lt;=0,0,MAXA(O25:Q25)))</f>
        <v>115</v>
      </c>
      <c r="S25" s="61">
        <f>IF(E25="","",N25+R25)</f>
        <v>205</v>
      </c>
      <c r="T25" s="62" t="str">
        <f>+CONCATENATE(AL25," ",AM25)</f>
        <v>EUR + 0</v>
      </c>
      <c r="U25" s="62" t="str">
        <f>IF(E25=0," ",IF(E25="H",IF(G25&lt;=SENIORS_Min,VLOOKUP(J25,Minimas!$A$15:$F$29,6),IF(AND(G25&gt;=U20_Min,G25&lt;=U20_Max),VLOOKUP(J25,Minimas!$A$15:$F$29,5),IF(AND(G25&gt;=U17_Min,G25&lt;=U17_Max),VLOOKUP(J25,Minimas!$A$15:$F$29,4),IF(AND(G25&gt;=U15_Min,G25&lt;=U15_Max),VLOOKUP(J25,Minimas!$A$15:$F$29,3),VLOOKUP(J25,Minimas!$A$15:$F$29,2))))),IF(G25&lt;=SENIORS_Min,VLOOKUP(J25,Minimas!$G$15:$L$29,6),IF(AND(G25&gt;=U20_Min,G25&lt;=U20_Max),VLOOKUP(J25,Minimas!$G$15:$L$29,5),IF(AND(G25&gt;=U17_Min,G25&lt;=U17_Max),VLOOKUP(J25,Minimas!$G$15:$L$29,4),IF(AND(G25&gt;=U15_Min,G25&lt;=U15_Max),VLOOKUP(J25,Minimas!$G$15:$L$29,3),VLOOKUP(J25,Minimas!$G$15:$L$29,2)))))))</f>
        <v>SE F63</v>
      </c>
      <c r="V25" s="63">
        <f>IF(E25=" "," ",IF(E25="H",10^(0.722762521*LOG(J25/193.609)^2)*S25,IF(E25="F",10^(0.787004341* LOG(J25/153.757)^2)*S25*1.5,"")))</f>
        <v>403.65960693330044</v>
      </c>
      <c r="Z25" s="32"/>
      <c r="AA25" s="166">
        <f>$S25-HLOOKUP($U25,Minimas!$C$3:$BO$11,2,FALSE)</f>
        <v>131</v>
      </c>
      <c r="AB25" s="166">
        <f>$S25-HLOOKUP($U25,Minimas!$C$3:$BO$11,3,FALSE)</f>
        <v>110</v>
      </c>
      <c r="AC25" s="166">
        <f>$S25-HLOOKUP($U25,Minimas!$C$3:$BO$11,4,FALSE)</f>
        <v>89</v>
      </c>
      <c r="AD25" s="166">
        <f>$S25-HLOOKUP($U25,Minimas!$C$3:$BO$11,5,FALSE)</f>
        <v>68</v>
      </c>
      <c r="AE25" s="166">
        <f>$S25-HLOOKUP($U25,Minimas!$C$3:$BO$11,6,FALSE)</f>
        <v>51</v>
      </c>
      <c r="AF25" s="166">
        <f>$S25-HLOOKUP($U25,Minimas!$C$3:$BO$11,7,FALSE)</f>
        <v>36</v>
      </c>
      <c r="AG25" s="166">
        <f>$S25-HLOOKUP($U25,Minimas!$C$3:$BO$11,8,FALSE)</f>
        <v>0</v>
      </c>
      <c r="AH25" s="166">
        <f>$S25-HLOOKUP($U25,Minimas!$C$3:$BO$11,9,FALSE)</f>
        <v>-6</v>
      </c>
      <c r="AI25" s="166"/>
      <c r="AJ25" s="163" t="str">
        <f t="shared" si="1"/>
        <v>EUR +</v>
      </c>
      <c r="AK25" s="163"/>
      <c r="AL25" s="163" t="str">
        <f t="shared" si="2"/>
        <v>EUR +</v>
      </c>
      <c r="AM25" s="166">
        <f t="shared" si="3"/>
        <v>0</v>
      </c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</row>
    <row r="26" spans="1:123" s="5" customFormat="1" ht="34.950000000000003" customHeight="1">
      <c r="B26" s="129"/>
      <c r="C26" s="64"/>
      <c r="D26" s="138"/>
      <c r="E26" s="65" t="s">
        <v>50</v>
      </c>
      <c r="F26" s="66"/>
      <c r="G26" s="67"/>
      <c r="H26" s="133"/>
      <c r="I26" s="65"/>
      <c r="J26" s="68">
        <v>65</v>
      </c>
      <c r="K26" s="69">
        <v>65</v>
      </c>
      <c r="L26" s="70"/>
      <c r="M26" s="71"/>
      <c r="N26" s="89">
        <f>IF(E26="","",IF(MAXA(K26:M26)&lt;=0,0,MAXA(K26:M26)))</f>
        <v>65</v>
      </c>
      <c r="O26" s="69">
        <v>80</v>
      </c>
      <c r="P26" s="70"/>
      <c r="Q26" s="71"/>
      <c r="R26" s="89">
        <f>IF(E26="","",IF(MAXA(O26:Q26)&lt;=0,0,MAXA(O26:Q26)))</f>
        <v>80</v>
      </c>
      <c r="S26" s="72">
        <f>IF(E26="","",N26+R26)</f>
        <v>145</v>
      </c>
      <c r="T26" s="73" t="str">
        <f>+CONCATENATE(AL26," ",AM26)</f>
        <v>DPT + 16</v>
      </c>
      <c r="U26" s="73" t="str">
        <f>IF(E26=0," ",IF(E26="H",IF(G26&lt;=SENIORS_Min,VLOOKUP(J26,Minimas!$A$15:$F$29,6),IF(AND(G26&gt;=U20_Min,G26&lt;=U20_Max),VLOOKUP(J26,Minimas!$A$15:$F$29,5),IF(AND(G26&gt;=U17_Min,G26&lt;=U17_Max),VLOOKUP(J26,Minimas!$A$15:$F$29,4),IF(AND(G26&gt;=U15_Min,G26&lt;=U15_Max),VLOOKUP(J26,Minimas!$A$15:$F$29,3),VLOOKUP(J26,Minimas!$A$15:$F$29,2))))),IF(G26&lt;=SENIORS_Min,VLOOKUP(J26,Minimas!$G$15:$L$29,6),IF(AND(G26&gt;=U20_Min,G26&lt;=U20_Max),VLOOKUP(J26,Minimas!$G$15:$L$29,5),IF(AND(G26&gt;=U17_Min,G26&lt;=U17_Max),VLOOKUP(J26,Minimas!$G$15:$L$29,4),IF(AND(G26&gt;=U15_Min,G26&lt;=U15_Max),VLOOKUP(J26,Minimas!$G$15:$L$29,3),VLOOKUP(J26,Minimas!$G$15:$L$29,2)))))))</f>
        <v>SE M65</v>
      </c>
      <c r="V26" s="74">
        <f t="shared" ref="V26:V29" si="8">IF(E26=" "," ",IF(E26="H",10^(0.722762521*LOG(J26/193.609)^2)*S26,IF(E26="F",10^(0.787004341* LOG(J26/153.757)^2)*S26*1.5,"")))</f>
        <v>210.7481366860238</v>
      </c>
      <c r="Z26" s="32"/>
      <c r="AA26" s="166">
        <f>$S26-HLOOKUP($U26,Minimas!$C$3:$BO$11,2,FALSE)</f>
        <v>45</v>
      </c>
      <c r="AB26" s="166">
        <f>$S26-HLOOKUP($U26,Minimas!$C$3:$BO$11,3,FALSE)</f>
        <v>16</v>
      </c>
      <c r="AC26" s="166">
        <f>$S26-HLOOKUP($U26,Minimas!$C$3:$BO$11,4,FALSE)</f>
        <v>-12</v>
      </c>
      <c r="AD26" s="166">
        <f>$S26-HLOOKUP($U26,Minimas!$C$3:$BO$11,5,FALSE)</f>
        <v>-41</v>
      </c>
      <c r="AE26" s="166">
        <f>$S26-HLOOKUP($U26,Minimas!$C$3:$BO$11,6,FALSE)</f>
        <v>-64</v>
      </c>
      <c r="AF26" s="166">
        <f>$S26-HLOOKUP($U26,Minimas!$C$3:$BO$11,7,FALSE)</f>
        <v>-84</v>
      </c>
      <c r="AG26" s="166">
        <f>$S26-HLOOKUP($U26,Minimas!$C$3:$BO$11,8,FALSE)</f>
        <v>-132</v>
      </c>
      <c r="AH26" s="166">
        <f>$S26-HLOOKUP($U26,Minimas!$C$3:$BO$11,9,FALSE)</f>
        <v>-141</v>
      </c>
      <c r="AI26" s="166"/>
      <c r="AJ26" s="163" t="str">
        <f t="shared" si="1"/>
        <v>DPT +</v>
      </c>
      <c r="AK26" s="163"/>
      <c r="AL26" s="163" t="str">
        <f t="shared" si="2"/>
        <v>DPT +</v>
      </c>
      <c r="AM26" s="166">
        <f t="shared" si="3"/>
        <v>16</v>
      </c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</row>
    <row r="27" spans="1:123" s="5" customFormat="1" ht="34.950000000000003" customHeight="1">
      <c r="B27" s="130"/>
      <c r="C27" s="64"/>
      <c r="D27" s="138"/>
      <c r="E27" s="65" t="s">
        <v>50</v>
      </c>
      <c r="F27" s="66"/>
      <c r="G27" s="67"/>
      <c r="H27" s="134"/>
      <c r="I27" s="65"/>
      <c r="J27" s="68">
        <v>62</v>
      </c>
      <c r="K27" s="69">
        <v>70</v>
      </c>
      <c r="L27" s="70"/>
      <c r="M27" s="71"/>
      <c r="N27" s="89">
        <f>IF(E27="","",IF(MAXA(K27:M27)&lt;=0,0,MAXA(K27:M27)))</f>
        <v>70</v>
      </c>
      <c r="O27" s="69">
        <v>90</v>
      </c>
      <c r="P27" s="70"/>
      <c r="Q27" s="71"/>
      <c r="R27" s="89">
        <f>IF(E27="","",IF(MAXA(O27:Q27)&lt;=0,0,MAXA(O27:Q27)))</f>
        <v>90</v>
      </c>
      <c r="S27" s="72">
        <f>IF(E27="","",N27+R27)</f>
        <v>160</v>
      </c>
      <c r="T27" s="73" t="str">
        <f t="shared" ref="T27:T28" si="9">+CONCATENATE(AL27," ",AM27)</f>
        <v>REG + 3</v>
      </c>
      <c r="U27" s="73" t="str">
        <f>IF(E27=0," ",IF(E27="H",IF(G27&lt;=SENIORS_Min,VLOOKUP(J27,Minimas!$A$15:$F$29,6),IF(AND(G27&gt;=U20_Min,G27&lt;=U20_Max),VLOOKUP(J27,Minimas!$A$15:$F$29,5),IF(AND(G27&gt;=U17_Min,G27&lt;=U17_Max),VLOOKUP(J27,Minimas!$A$15:$F$29,4),IF(AND(G27&gt;=U15_Min,G27&lt;=U15_Max),VLOOKUP(J27,Minimas!$A$15:$F$29,3),VLOOKUP(J27,Minimas!$A$15:$F$29,2))))),IF(G27&lt;=SENIORS_Min,VLOOKUP(J27,Minimas!$G$15:$L$29,6),IF(AND(G27&gt;=U20_Min,G27&lt;=U20_Max),VLOOKUP(J27,Minimas!$G$15:$L$29,5),IF(AND(G27&gt;=U17_Min,G27&lt;=U17_Max),VLOOKUP(J27,Minimas!$G$15:$L$29,4),IF(AND(G27&gt;=U15_Min,G27&lt;=U15_Max),VLOOKUP(J27,Minimas!$G$15:$L$29,3),VLOOKUP(J27,Minimas!$G$15:$L$29,2)))))))</f>
        <v>SE M65</v>
      </c>
      <c r="V27" s="74">
        <f t="shared" si="8"/>
        <v>240.37067413808202</v>
      </c>
      <c r="Z27" s="32"/>
      <c r="AA27" s="166">
        <f>$S27-HLOOKUP($U27,Minimas!$C$3:$BO$11,2,FALSE)</f>
        <v>60</v>
      </c>
      <c r="AB27" s="166">
        <f>$S27-HLOOKUP($U27,Minimas!$C$3:$BO$11,3,FALSE)</f>
        <v>31</v>
      </c>
      <c r="AC27" s="166">
        <f>$S27-HLOOKUP($U27,Minimas!$C$3:$BO$11,4,FALSE)</f>
        <v>3</v>
      </c>
      <c r="AD27" s="166">
        <f>$S27-HLOOKUP($U27,Minimas!$C$3:$BO$11,5,FALSE)</f>
        <v>-26</v>
      </c>
      <c r="AE27" s="166">
        <f>$S27-HLOOKUP($U27,Minimas!$C$3:$BO$11,6,FALSE)</f>
        <v>-49</v>
      </c>
      <c r="AF27" s="166">
        <f>$S27-HLOOKUP($U27,Minimas!$C$3:$BO$11,7,FALSE)</f>
        <v>-69</v>
      </c>
      <c r="AG27" s="166">
        <f>$S27-HLOOKUP($U27,Minimas!$C$3:$BO$11,8,FALSE)</f>
        <v>-117</v>
      </c>
      <c r="AH27" s="166">
        <f>$S27-HLOOKUP($U27,Minimas!$C$3:$BO$11,9,FALSE)</f>
        <v>-126</v>
      </c>
      <c r="AI27" s="166"/>
      <c r="AJ27" s="163" t="str">
        <f t="shared" si="1"/>
        <v>REG +</v>
      </c>
      <c r="AK27" s="163"/>
      <c r="AL27" s="163" t="str">
        <f t="shared" si="2"/>
        <v>REG +</v>
      </c>
      <c r="AM27" s="166">
        <f t="shared" si="3"/>
        <v>3</v>
      </c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</row>
    <row r="28" spans="1:123" s="5" customFormat="1" ht="34.950000000000003" customHeight="1">
      <c r="B28" s="130"/>
      <c r="C28" s="64"/>
      <c r="D28" s="138"/>
      <c r="E28" s="65" t="s">
        <v>51</v>
      </c>
      <c r="F28" s="66"/>
      <c r="G28" s="67"/>
      <c r="H28" s="135">
        <f>SUM(V25:V29)</f>
        <v>1370.1654147688762</v>
      </c>
      <c r="I28" s="65" t="s">
        <v>36</v>
      </c>
      <c r="J28" s="68">
        <v>82</v>
      </c>
      <c r="K28" s="69">
        <v>55</v>
      </c>
      <c r="L28" s="70"/>
      <c r="M28" s="71"/>
      <c r="N28" s="89">
        <f>IF(E28="","",IF(MAXA(K28:M28)&lt;=0,0,MAXA(K28:M28)))</f>
        <v>55</v>
      </c>
      <c r="O28" s="69">
        <v>75</v>
      </c>
      <c r="P28" s="70"/>
      <c r="Q28" s="71"/>
      <c r="R28" s="89">
        <f>IF(E28="","",IF(MAXA(O28:Q28)&lt;=0,0,MAXA(O28:Q28)))</f>
        <v>75</v>
      </c>
      <c r="S28" s="72">
        <f>IF(E28="","",N28+R28)</f>
        <v>130</v>
      </c>
      <c r="T28" s="73" t="str">
        <f t="shared" si="9"/>
        <v>REG + 1</v>
      </c>
      <c r="U28" s="73" t="str">
        <f>IF(E28=0," ",IF(E28="H",IF(G28&lt;=SENIORS_Min,VLOOKUP(J28,Minimas!$A$15:$F$29,6),IF(AND(G28&gt;=U20_Min,G28&lt;=U20_Max),VLOOKUP(J28,Minimas!$A$15:$F$29,5),IF(AND(G28&gt;=U17_Min,G28&lt;=U17_Max),VLOOKUP(J28,Minimas!$A$15:$F$29,4),IF(AND(G28&gt;=U15_Min,G28&lt;=U15_Max),VLOOKUP(J28,Minimas!$A$15:$F$29,3),VLOOKUP(J28,Minimas!$A$15:$F$29,2))))),IF(G28&lt;=SENIORS_Min,VLOOKUP(J28,Minimas!$G$15:$L$29,6),IF(AND(G28&gt;=U20_Min,G28&lt;=U20_Max),VLOOKUP(J28,Minimas!$G$15:$L$29,5),IF(AND(G28&gt;=U17_Min,G28&lt;=U17_Max),VLOOKUP(J28,Minimas!$G$15:$L$29,4),IF(AND(G28&gt;=U15_Min,G28&lt;=U15_Max),VLOOKUP(J28,Minimas!$G$15:$L$29,3),VLOOKUP(J28,Minimas!$G$15:$L$29,2)))))))</f>
        <v>SE F86</v>
      </c>
      <c r="V28" s="74">
        <f t="shared" si="8"/>
        <v>223.20211271960696</v>
      </c>
      <c r="Z28" s="32"/>
      <c r="AA28" s="166">
        <f>$S28-HLOOKUP($U28,Minimas!$C$3:$BO$11,2,FALSE)</f>
        <v>48</v>
      </c>
      <c r="AB28" s="166">
        <f>$S28-HLOOKUP($U28,Minimas!$C$3:$BO$11,3,FALSE)</f>
        <v>24</v>
      </c>
      <c r="AC28" s="166">
        <f>$S28-HLOOKUP($U28,Minimas!$C$3:$BO$11,4,FALSE)</f>
        <v>1</v>
      </c>
      <c r="AD28" s="166">
        <f>$S28-HLOOKUP($U28,Minimas!$C$3:$BO$11,5,FALSE)</f>
        <v>-23</v>
      </c>
      <c r="AE28" s="166">
        <f>$S28-HLOOKUP($U28,Minimas!$C$3:$BO$11,6,FALSE)</f>
        <v>-42</v>
      </c>
      <c r="AF28" s="166">
        <f>$S28-HLOOKUP($U28,Minimas!$C$3:$BO$11,7,FALSE)</f>
        <v>-58</v>
      </c>
      <c r="AG28" s="166">
        <f>$S28-HLOOKUP($U28,Minimas!$C$3:$BO$11,8,FALSE)</f>
        <v>-98</v>
      </c>
      <c r="AH28" s="166">
        <f>$S28-HLOOKUP($U28,Minimas!$C$3:$BO$11,9,FALSE)</f>
        <v>-105</v>
      </c>
      <c r="AI28" s="166"/>
      <c r="AJ28" s="163" t="str">
        <f t="shared" si="1"/>
        <v>REG +</v>
      </c>
      <c r="AK28" s="163"/>
      <c r="AL28" s="163" t="str">
        <f t="shared" si="2"/>
        <v>REG +</v>
      </c>
      <c r="AM28" s="166">
        <f t="shared" si="3"/>
        <v>1</v>
      </c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</row>
    <row r="29" spans="1:123" s="5" customFormat="1" ht="34.950000000000003" customHeight="1" thickBot="1">
      <c r="B29" s="131"/>
      <c r="C29" s="75"/>
      <c r="D29" s="139"/>
      <c r="E29" s="76" t="s">
        <v>51</v>
      </c>
      <c r="F29" s="77"/>
      <c r="G29" s="78"/>
      <c r="H29" s="136">
        <f>SUM(V25:V29)</f>
        <v>1370.1654147688762</v>
      </c>
      <c r="I29" s="76" t="s">
        <v>36</v>
      </c>
      <c r="J29" s="79">
        <v>72</v>
      </c>
      <c r="K29" s="80">
        <v>70</v>
      </c>
      <c r="L29" s="81"/>
      <c r="M29" s="82"/>
      <c r="N29" s="90">
        <f>IF(E29="","",IF(MAXA(K29:M29)&lt;=0,0,MAXA(K29:M29)))</f>
        <v>70</v>
      </c>
      <c r="O29" s="80">
        <v>90</v>
      </c>
      <c r="P29" s="81"/>
      <c r="Q29" s="82"/>
      <c r="R29" s="90">
        <f>IF(E29="","",IF(MAXA(O29:Q29)&lt;=0,0,MAXA(O29:Q29)))</f>
        <v>90</v>
      </c>
      <c r="S29" s="83">
        <f>IF(E29="","",N29+R29)</f>
        <v>160</v>
      </c>
      <c r="T29" s="84" t="str">
        <f>+CONCATENATE(AL29," ",AM29)</f>
        <v>IRG + 12</v>
      </c>
      <c r="U29" s="84" t="str">
        <f>IF(E29=0," ",IF(E29="H",IF(G29&lt;=SENIORS_Min,VLOOKUP(J29,Minimas!$A$15:$F$29,6),IF(AND(G29&gt;=U20_Min,G29&lt;=U20_Max),VLOOKUP(J29,Minimas!$A$15:$F$29,5),IF(AND(G29&gt;=U17_Min,G29&lt;=U17_Max),VLOOKUP(J29,Minimas!$A$15:$F$29,4),IF(AND(G29&gt;=U15_Min,G29&lt;=U15_Max),VLOOKUP(J29,Minimas!$A$15:$F$29,3),VLOOKUP(J29,Minimas!$A$15:$F$29,2))))),IF(G29&lt;=SENIORS_Min,VLOOKUP(J29,Minimas!$G$15:$L$29,6),IF(AND(G29&gt;=U20_Min,G29&lt;=U20_Max),VLOOKUP(J29,Minimas!$G$15:$L$29,5),IF(AND(G29&gt;=U17_Min,G29&lt;=U17_Max),VLOOKUP(J29,Minimas!$G$15:$L$29,4),IF(AND(G29&gt;=U15_Min,G29&lt;=U15_Max),VLOOKUP(J29,Minimas!$G$15:$L$29,3),VLOOKUP(J29,Minimas!$G$15:$L$29,2)))))))</f>
        <v>SE F77</v>
      </c>
      <c r="V29" s="95">
        <f t="shared" si="8"/>
        <v>292.18488429186294</v>
      </c>
      <c r="Z29" s="32"/>
      <c r="AA29" s="166">
        <f>$S29-HLOOKUP($U29,Minimas!$C$3:$BO$11,2,FALSE)</f>
        <v>80</v>
      </c>
      <c r="AB29" s="166">
        <f>$S29-HLOOKUP($U29,Minimas!$C$3:$BO$11,3,FALSE)</f>
        <v>57</v>
      </c>
      <c r="AC29" s="166">
        <f>$S29-HLOOKUP($U29,Minimas!$C$3:$BO$11,4,FALSE)</f>
        <v>35</v>
      </c>
      <c r="AD29" s="166">
        <f>$S29-HLOOKUP($U29,Minimas!$C$3:$BO$11,5,FALSE)</f>
        <v>12</v>
      </c>
      <c r="AE29" s="166">
        <f>$S29-HLOOKUP($U29,Minimas!$C$3:$BO$11,6,FALSE)</f>
        <v>-6</v>
      </c>
      <c r="AF29" s="166">
        <f>$S29-HLOOKUP($U29,Minimas!$C$3:$BO$11,7,FALSE)</f>
        <v>-22</v>
      </c>
      <c r="AG29" s="166">
        <f>$S29-HLOOKUP($U29,Minimas!$C$3:$BO$11,8,FALSE)</f>
        <v>-61</v>
      </c>
      <c r="AH29" s="166">
        <f>$S29-HLOOKUP($U29,Minimas!$C$3:$BO$11,9,FALSE)</f>
        <v>-68</v>
      </c>
      <c r="AI29" s="166"/>
      <c r="AJ29" s="163" t="str">
        <f t="shared" si="1"/>
        <v>IRG +</v>
      </c>
      <c r="AK29" s="163"/>
      <c r="AL29" s="163" t="str">
        <f t="shared" si="2"/>
        <v>IRG +</v>
      </c>
      <c r="AM29" s="166">
        <f t="shared" si="3"/>
        <v>12</v>
      </c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</row>
    <row r="30" spans="1:123" s="8" customFormat="1" ht="5.0999999999999996" customHeight="1" thickBot="1">
      <c r="A30" s="7"/>
      <c r="B30" s="39"/>
      <c r="C30" s="40"/>
      <c r="D30" s="41"/>
      <c r="E30" s="42"/>
      <c r="F30" s="50"/>
      <c r="G30" s="43"/>
      <c r="H30" s="51"/>
      <c r="I30" s="45"/>
      <c r="J30" s="46"/>
      <c r="K30" s="47"/>
      <c r="L30" s="47"/>
      <c r="M30" s="47"/>
      <c r="N30" s="48"/>
      <c r="O30" s="47"/>
      <c r="P30" s="47"/>
      <c r="Q30" s="47"/>
      <c r="R30" s="48"/>
      <c r="S30" s="48"/>
      <c r="T30" s="49"/>
      <c r="U30" s="49"/>
      <c r="V30" s="63"/>
      <c r="W30" s="6"/>
      <c r="X30" s="6"/>
      <c r="Y30" s="6"/>
      <c r="Z30" s="30"/>
      <c r="AA30" s="166" t="e">
        <f>$S30-HLOOKUP($U30,Minimas!$C$3:$BO$11,2,FALSE)</f>
        <v>#N/A</v>
      </c>
      <c r="AB30" s="166" t="e">
        <f>$S30-HLOOKUP($U30,Minimas!$C$3:$BO$11,3,FALSE)</f>
        <v>#N/A</v>
      </c>
      <c r="AC30" s="166" t="e">
        <f>$S30-HLOOKUP($U30,Minimas!$C$3:$BO$11,4,FALSE)</f>
        <v>#N/A</v>
      </c>
      <c r="AD30" s="166" t="e">
        <f>$S30-HLOOKUP($U30,Minimas!$C$3:$BO$11,5,FALSE)</f>
        <v>#N/A</v>
      </c>
      <c r="AE30" s="166" t="e">
        <f>$S30-HLOOKUP($U30,Minimas!$C$3:$BO$11,6,FALSE)</f>
        <v>#N/A</v>
      </c>
      <c r="AF30" s="166" t="e">
        <f>$S30-HLOOKUP($U30,Minimas!$C$3:$BO$11,7,FALSE)</f>
        <v>#N/A</v>
      </c>
      <c r="AG30" s="166" t="e">
        <f>$S30-HLOOKUP($U30,Minimas!$C$3:$BO$11,8,FALSE)</f>
        <v>#N/A</v>
      </c>
      <c r="AH30" s="166" t="e">
        <f>$S30-HLOOKUP($U30,Minimas!$C$3:$BO$11,9,FALSE)</f>
        <v>#N/A</v>
      </c>
      <c r="AI30" s="166"/>
      <c r="AJ30" s="163" t="str">
        <f t="shared" si="1"/>
        <v xml:space="preserve"> </v>
      </c>
      <c r="AK30" s="163"/>
      <c r="AL30" s="163" t="str">
        <f t="shared" si="2"/>
        <v xml:space="preserve"> </v>
      </c>
      <c r="AM30" s="166" t="str">
        <f t="shared" si="3"/>
        <v xml:space="preserve"> </v>
      </c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</row>
    <row r="31" spans="1:123" s="11" customFormat="1" ht="10.199999999999999" customHeight="1">
      <c r="O31" s="10"/>
    </row>
    <row r="32" spans="1:123" ht="15.6">
      <c r="F32" s="118" t="s">
        <v>56</v>
      </c>
      <c r="K32" s="167"/>
      <c r="L32" s="168" t="s">
        <v>57</v>
      </c>
      <c r="M32" s="169"/>
      <c r="N32" s="169"/>
      <c r="O32" s="169"/>
      <c r="Y32" s="112">
        <f>H10</f>
        <v>1347.9246196142831</v>
      </c>
    </row>
    <row r="33" spans="10:25" ht="15.6">
      <c r="J33" s="119" t="s">
        <v>58</v>
      </c>
      <c r="K33" s="170"/>
      <c r="L33" s="168" t="s">
        <v>59</v>
      </c>
      <c r="M33" s="169"/>
      <c r="N33" s="169"/>
      <c r="O33" s="169"/>
      <c r="Y33" s="112">
        <f>H16</f>
        <v>1308.105527004921</v>
      </c>
    </row>
    <row r="34" spans="10:25" ht="17.399999999999999">
      <c r="K34" s="171"/>
      <c r="L34" s="168" t="s">
        <v>60</v>
      </c>
      <c r="M34" s="169"/>
      <c r="N34" s="169"/>
      <c r="O34" s="169"/>
      <c r="Y34" s="112">
        <f>H22</f>
        <v>1367.949121846772</v>
      </c>
    </row>
    <row r="35" spans="10:25" ht="13.8">
      <c r="Y35" s="112">
        <f>H28</f>
        <v>1370.1654147688762</v>
      </c>
    </row>
    <row r="36" spans="10:25" ht="13.8">
      <c r="Y36" s="113" t="e">
        <f>#REF!</f>
        <v>#REF!</v>
      </c>
    </row>
    <row r="37" spans="10:25" ht="13.8">
      <c r="Y37" s="112" t="s">
        <v>52</v>
      </c>
    </row>
  </sheetData>
  <mergeCells count="23">
    <mergeCell ref="B19:B23"/>
    <mergeCell ref="D19:D23"/>
    <mergeCell ref="H19:H21"/>
    <mergeCell ref="H22:H23"/>
    <mergeCell ref="B25:B29"/>
    <mergeCell ref="D25:D29"/>
    <mergeCell ref="H25:H27"/>
    <mergeCell ref="H28:H29"/>
    <mergeCell ref="B7:B11"/>
    <mergeCell ref="D7:D11"/>
    <mergeCell ref="H7:H9"/>
    <mergeCell ref="H10:H11"/>
    <mergeCell ref="B13:B17"/>
    <mergeCell ref="D13:D17"/>
    <mergeCell ref="H13:H15"/>
    <mergeCell ref="H16:H17"/>
    <mergeCell ref="E2:H3"/>
    <mergeCell ref="J2:K2"/>
    <mergeCell ref="M2:R2"/>
    <mergeCell ref="U2:V2"/>
    <mergeCell ref="J3:K3"/>
    <mergeCell ref="M3:R3"/>
    <mergeCell ref="U3:V3"/>
  </mergeCells>
  <conditionalFormatting sqref="E1 E4:E1048576">
    <cfRule type="cellIs" dxfId="14" priority="3" operator="equal">
      <formula>"F"</formula>
    </cfRule>
  </conditionalFormatting>
  <conditionalFormatting sqref="J33">
    <cfRule type="cellIs" dxfId="13" priority="1" stopIfTrue="1" operator="lessThan">
      <formula>0</formula>
    </cfRule>
  </conditionalFormatting>
  <conditionalFormatting sqref="K7:M30">
    <cfRule type="cellIs" dxfId="12" priority="4" operator="lessThan">
      <formula>0</formula>
    </cfRule>
  </conditionalFormatting>
  <conditionalFormatting sqref="K32:O34">
    <cfRule type="cellIs" dxfId="11" priority="2" stopIfTrue="1" operator="lessThan">
      <formula>0</formula>
    </cfRule>
  </conditionalFormatting>
  <conditionalFormatting sqref="O7:Q30">
    <cfRule type="cellIs" dxfId="10" priority="5" operator="lessThan">
      <formula>0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2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DS42"/>
  <sheetViews>
    <sheetView topLeftCell="D25" zoomScale="102" zoomScaleNormal="102" workbookViewId="0">
      <selection activeCell="F14" sqref="F14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5" width="6.6640625" style="1" customWidth="1"/>
    <col min="6" max="6" width="50.6640625" style="1" customWidth="1"/>
    <col min="7" max="7" width="5.6640625" style="1" customWidth="1"/>
    <col min="8" max="8" width="25.6640625" style="1" customWidth="1"/>
    <col min="9" max="9" width="5.6640625" style="2" bestFit="1" customWidth="1"/>
    <col min="10" max="10" width="10.77734375" style="1" customWidth="1"/>
    <col min="11" max="11" width="10.109375" style="1" customWidth="1"/>
    <col min="12" max="13" width="9.33203125" style="1" customWidth="1"/>
    <col min="14" max="14" width="9.33203125" style="3" customWidth="1"/>
    <col min="15" max="17" width="9.33203125" style="1" customWidth="1"/>
    <col min="18" max="19" width="9.33203125" style="3" customWidth="1"/>
    <col min="20" max="20" width="13.5546875" style="4" bestFit="1" customWidth="1"/>
    <col min="21" max="21" width="12" style="1" bestFit="1" customWidth="1"/>
    <col min="22" max="22" width="9.88671875" style="1" customWidth="1"/>
    <col min="23" max="23" width="1.6640625" style="1" customWidth="1"/>
    <col min="24" max="25" width="11.44140625" style="1" customWidth="1"/>
    <col min="26" max="38" width="11.44140625" style="28" hidden="1" customWidth="1"/>
    <col min="39" max="39" width="5.5546875" style="28" hidden="1" customWidth="1"/>
    <col min="40" max="40" width="11.44140625" style="28" hidden="1" customWidth="1"/>
    <col min="41" max="41" width="11.44140625" style="28" customWidth="1"/>
    <col min="42" max="123" width="11.44140625" style="28"/>
    <col min="124" max="16384" width="11.44140625" style="1"/>
  </cols>
  <sheetData>
    <row r="1" spans="1:123" ht="5.0999999999999996" customHeight="1"/>
    <row r="2" spans="1:123" s="9" customFormat="1" ht="30" customHeight="1">
      <c r="D2" s="117" t="s">
        <v>52</v>
      </c>
      <c r="E2" s="120" t="s">
        <v>55</v>
      </c>
      <c r="F2" s="120"/>
      <c r="G2" s="120"/>
      <c r="H2" s="120"/>
      <c r="I2" s="114"/>
      <c r="J2" s="122" t="s">
        <v>40</v>
      </c>
      <c r="K2" s="122"/>
      <c r="M2" s="122" t="s">
        <v>6</v>
      </c>
      <c r="N2" s="122"/>
      <c r="O2" s="122"/>
      <c r="P2" s="122"/>
      <c r="Q2" s="122"/>
      <c r="R2" s="122"/>
      <c r="U2" s="122" t="s">
        <v>15</v>
      </c>
      <c r="V2" s="122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</row>
    <row r="3" spans="1:123" s="9" customFormat="1" ht="30" customHeight="1">
      <c r="D3" s="117"/>
      <c r="E3" s="121"/>
      <c r="F3" s="121"/>
      <c r="G3" s="121"/>
      <c r="H3" s="121"/>
      <c r="I3" s="114"/>
      <c r="J3" s="125" t="s">
        <v>54</v>
      </c>
      <c r="K3" s="125"/>
      <c r="L3" s="115"/>
      <c r="M3" s="123" t="s">
        <v>52</v>
      </c>
      <c r="N3" s="123"/>
      <c r="O3" s="123"/>
      <c r="P3" s="123"/>
      <c r="Q3" s="123"/>
      <c r="R3" s="123"/>
      <c r="S3" s="116"/>
      <c r="T3" s="116"/>
      <c r="U3" s="124">
        <v>45976</v>
      </c>
      <c r="V3" s="124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</row>
    <row r="4" spans="1:123" s="8" customFormat="1" ht="20.399999999999999" customHeight="1">
      <c r="A4" s="7"/>
      <c r="B4" s="14"/>
      <c r="C4" s="7"/>
      <c r="D4" s="15"/>
      <c r="E4" s="15"/>
      <c r="F4" s="16"/>
      <c r="G4" s="18"/>
      <c r="H4" s="19"/>
      <c r="I4" s="20"/>
      <c r="J4" s="21"/>
      <c r="K4" s="22"/>
      <c r="L4" s="22"/>
      <c r="M4" s="22"/>
      <c r="N4" s="23"/>
      <c r="O4" s="22"/>
      <c r="P4" s="22"/>
      <c r="Q4" s="22"/>
      <c r="R4" s="23"/>
      <c r="S4" s="23"/>
      <c r="T4" s="24"/>
      <c r="U4" s="16"/>
      <c r="V4" s="16"/>
      <c r="W4" s="6"/>
      <c r="X4" s="6"/>
      <c r="Y4" s="6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</row>
    <row r="5" spans="1:123" s="13" customFormat="1" ht="18" customHeight="1">
      <c r="A5" s="12"/>
      <c r="B5" s="91" t="s">
        <v>9</v>
      </c>
      <c r="C5" s="92" t="s">
        <v>10</v>
      </c>
      <c r="D5" s="92" t="s">
        <v>7</v>
      </c>
      <c r="E5" s="92" t="s">
        <v>35</v>
      </c>
      <c r="F5" s="92" t="s">
        <v>0</v>
      </c>
      <c r="G5" s="92" t="s">
        <v>12</v>
      </c>
      <c r="H5" s="92" t="s">
        <v>11</v>
      </c>
      <c r="I5" s="93" t="s">
        <v>5</v>
      </c>
      <c r="J5" s="93" t="s">
        <v>1</v>
      </c>
      <c r="K5" s="52">
        <v>1</v>
      </c>
      <c r="L5" s="52">
        <v>2</v>
      </c>
      <c r="M5" s="52">
        <v>3</v>
      </c>
      <c r="N5" s="93" t="s">
        <v>13</v>
      </c>
      <c r="O5" s="52">
        <v>1</v>
      </c>
      <c r="P5" s="52">
        <v>2</v>
      </c>
      <c r="Q5" s="52">
        <v>3</v>
      </c>
      <c r="R5" s="93" t="s">
        <v>14</v>
      </c>
      <c r="S5" s="93" t="s">
        <v>2</v>
      </c>
      <c r="T5" s="93" t="s">
        <v>3</v>
      </c>
      <c r="U5" s="93" t="s">
        <v>8</v>
      </c>
      <c r="V5" s="94" t="s">
        <v>4</v>
      </c>
      <c r="W5" s="12"/>
      <c r="X5" s="12"/>
      <c r="Y5" s="12"/>
      <c r="Z5" s="31"/>
      <c r="AA5" s="163" t="s">
        <v>38</v>
      </c>
      <c r="AB5" s="163" t="s">
        <v>37</v>
      </c>
      <c r="AC5" s="163" t="s">
        <v>29</v>
      </c>
      <c r="AD5" s="163" t="s">
        <v>30</v>
      </c>
      <c r="AE5" s="163" t="s">
        <v>128</v>
      </c>
      <c r="AF5" s="163" t="s">
        <v>32</v>
      </c>
      <c r="AG5" s="163" t="s">
        <v>129</v>
      </c>
      <c r="AH5" s="163" t="s">
        <v>130</v>
      </c>
      <c r="AI5" s="37"/>
      <c r="AJ5" s="164"/>
      <c r="AK5" s="164"/>
      <c r="AL5" s="164"/>
      <c r="AM5" s="164"/>
      <c r="AN5" s="164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</row>
    <row r="6" spans="1:123" s="8" customFormat="1" ht="5.0999999999999996" customHeight="1" thickBot="1">
      <c r="A6" s="7"/>
      <c r="B6" s="14"/>
      <c r="C6" s="7"/>
      <c r="D6" s="16"/>
      <c r="E6" s="16"/>
      <c r="F6" s="17"/>
      <c r="G6" s="20"/>
      <c r="H6" s="19"/>
      <c r="I6" s="15"/>
      <c r="J6" s="21"/>
      <c r="K6" s="22"/>
      <c r="L6" s="22"/>
      <c r="M6" s="22"/>
      <c r="N6" s="23"/>
      <c r="O6" s="22"/>
      <c r="P6" s="22"/>
      <c r="Q6" s="22"/>
      <c r="R6" s="23"/>
      <c r="S6" s="23"/>
      <c r="T6" s="23"/>
      <c r="U6" s="23"/>
      <c r="V6" s="23"/>
      <c r="W6" s="6"/>
      <c r="X6" s="6"/>
      <c r="Y6" s="6"/>
      <c r="Z6" s="30"/>
      <c r="AA6" s="165" t="s">
        <v>27</v>
      </c>
      <c r="AB6" s="165" t="s">
        <v>28</v>
      </c>
      <c r="AC6" s="165" t="s">
        <v>29</v>
      </c>
      <c r="AD6" s="165" t="s">
        <v>30</v>
      </c>
      <c r="AE6" s="165" t="s">
        <v>31</v>
      </c>
      <c r="AF6" s="165" t="s">
        <v>32</v>
      </c>
      <c r="AG6" s="165" t="s">
        <v>33</v>
      </c>
      <c r="AH6" s="165" t="s">
        <v>34</v>
      </c>
      <c r="AI6" s="37"/>
      <c r="AJ6" s="165"/>
      <c r="AK6" s="165"/>
      <c r="AL6" s="165"/>
      <c r="AM6" s="165"/>
      <c r="AN6" s="165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</row>
    <row r="7" spans="1:123" s="5" customFormat="1" ht="34.950000000000003" customHeight="1">
      <c r="B7" s="128" t="s">
        <v>53</v>
      </c>
      <c r="C7" s="53"/>
      <c r="D7" s="137">
        <f>IF(H10="","",RANK(H10,$Y$37:$Y$44,0))</f>
        <v>3</v>
      </c>
      <c r="E7" s="54" t="s">
        <v>51</v>
      </c>
      <c r="F7" s="55"/>
      <c r="G7" s="109">
        <v>2003</v>
      </c>
      <c r="H7" s="132"/>
      <c r="I7" s="54"/>
      <c r="J7" s="57">
        <v>57</v>
      </c>
      <c r="K7" s="106">
        <v>41</v>
      </c>
      <c r="L7" s="59" t="s">
        <v>52</v>
      </c>
      <c r="M7" s="60"/>
      <c r="N7" s="88">
        <f>IF(E7="","",IF(MAXA(K7:M7)&lt;=0,0,MAXA(K7:M7)))</f>
        <v>41</v>
      </c>
      <c r="O7" s="106">
        <v>59</v>
      </c>
      <c r="P7" s="59"/>
      <c r="Q7" s="60"/>
      <c r="R7" s="88">
        <f>IF(E7="","",IF(MAXA(O7:Q7)&lt;=0,0,MAXA(O7:Q7)))</f>
        <v>59</v>
      </c>
      <c r="S7" s="61">
        <f>IF(E7="","",N7+R7)</f>
        <v>100</v>
      </c>
      <c r="T7" s="62" t="str">
        <f>+CONCATENATE(AL7," ",AM7)</f>
        <v>DPT + 9</v>
      </c>
      <c r="U7" s="62" t="str">
        <f>IF(E7=0," ",IF(E7="H",IF(G7&lt;=SENIORS_Min,VLOOKUP(J7,Minimas!$A$15:$F$29,6),IF(AND(G7&gt;=U20_Min,G7&lt;=U20_Max),VLOOKUP(J7,Minimas!$A$15:$F$29,5),IF(AND(G7&gt;=U17_Min,G7&lt;=U17_Max),VLOOKUP(J7,Minimas!$A$15:$F$29,4),IF(AND(G7&gt;=U15_Min,G7&lt;=U15_Max),VLOOKUP(J7,Minimas!$A$15:$F$29,3),VLOOKUP(J7,Minimas!$A$15:$F$29,2))))),IF(G7&lt;=SENIORS_Min,VLOOKUP(J7,Minimas!$G$15:$L$29,6),IF(AND(G7&gt;=U20_Min,G7&lt;=U20_Max),VLOOKUP(J7,Minimas!$G$15:$L$29,5),IF(AND(G7&gt;=U17_Min,G7&lt;=U17_Max),VLOOKUP(J7,Minimas!$G$15:$L$29,4),IF(AND(G7&gt;=U15_Min,G7&lt;=U15_Max),VLOOKUP(J7,Minimas!$G$15:$L$29,3),VLOOKUP(J7,Minimas!$G$15:$L$29,2)))))))</f>
        <v>SE F58</v>
      </c>
      <c r="V7" s="63">
        <f>IF(E7=" "," ",IF(E7="H",10^(0.722762521*LOG(J7/193.609)^2)*S7,IF(E7="F",10^(0.787004341* LOG(J7/153.757)^2)*S7*1.5,"")))</f>
        <v>210.01913511132219</v>
      </c>
      <c r="Z7" s="32"/>
      <c r="AA7" s="166">
        <f>$S7-HLOOKUP($U7,Minimas!$C$3:$BO$11,2,FALSE)</f>
        <v>29</v>
      </c>
      <c r="AB7" s="166">
        <f>$S7-HLOOKUP($U7,Minimas!$C$3:$BO$11,3,FALSE)</f>
        <v>9</v>
      </c>
      <c r="AC7" s="166">
        <f>$S7-HLOOKUP($U7,Minimas!$C$3:$BO$11,4,FALSE)</f>
        <v>-12</v>
      </c>
      <c r="AD7" s="166">
        <f>$S7-HLOOKUP($U7,Minimas!$C$3:$BO$11,5,FALSE)</f>
        <v>-32</v>
      </c>
      <c r="AE7" s="166">
        <f>$S7-HLOOKUP($U7,Minimas!$C$3:$BO$11,6,FALSE)</f>
        <v>-48</v>
      </c>
      <c r="AF7" s="166">
        <f>$S7-HLOOKUP($U7,Minimas!$C$3:$BO$11,7,FALSE)</f>
        <v>-62</v>
      </c>
      <c r="AG7" s="166">
        <f>$S7-HLOOKUP($U7,Minimas!$C$3:$BO$11,8,FALSE)</f>
        <v>-97</v>
      </c>
      <c r="AH7" s="166">
        <f>$S7-HLOOKUP($U7,Minimas!$C$3:$BO$11,9,FALSE)</f>
        <v>-103</v>
      </c>
      <c r="AI7" s="166"/>
      <c r="AJ7" s="163" t="str">
        <f>IF(E7=0," ",IF(AH7&gt;=0,$AH$5,IF(AG7&gt;=0,$AG$5,IF(AF7&gt;=0,$AF$5,IF(AE7&gt;=0,$AE$5,IF(AD7&gt;=0,$AD$5,IF(AC7&gt;=0,$AC$5,IF(AB7&gt;=0,$AB$5,$AA$5))))))))</f>
        <v>DPT +</v>
      </c>
      <c r="AK7" s="163"/>
      <c r="AL7" s="163" t="str">
        <f>IF(AJ7="","",AJ7)</f>
        <v>DPT +</v>
      </c>
      <c r="AM7" s="166">
        <f>IF(E7=0," ",IF(AH7&gt;=0,AH7,IF(AG7&gt;=0,AG7,IF(AF7&gt;=0,AF7,IF(AE7&gt;=0,AE7,IF(AD7&gt;=0,AD7,IF(AC7&gt;=0,AC7,IF(AB7&gt;=0,AB7,AA7))))))))</f>
        <v>9</v>
      </c>
      <c r="AN7" s="163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</row>
    <row r="8" spans="1:123" s="5" customFormat="1" ht="34.950000000000003" customHeight="1">
      <c r="B8" s="129"/>
      <c r="C8" s="64"/>
      <c r="D8" s="138"/>
      <c r="E8" s="65" t="s">
        <v>51</v>
      </c>
      <c r="F8" s="66"/>
      <c r="G8" s="110">
        <v>2004</v>
      </c>
      <c r="H8" s="133"/>
      <c r="I8" s="65"/>
      <c r="J8" s="68">
        <v>60</v>
      </c>
      <c r="K8" s="107">
        <v>46</v>
      </c>
      <c r="L8" s="70"/>
      <c r="M8" s="71"/>
      <c r="N8" s="89">
        <f>IF(E8="","",IF(MAXA(K8:M8)&lt;=0,0,MAXA(K8:M8)))</f>
        <v>46</v>
      </c>
      <c r="O8" s="107">
        <v>62</v>
      </c>
      <c r="P8" s="70"/>
      <c r="Q8" s="71"/>
      <c r="R8" s="89">
        <f>IF(E8="","",IF(MAXA(O8:Q8)&lt;=0,0,MAXA(O8:Q8)))</f>
        <v>62</v>
      </c>
      <c r="S8" s="72">
        <f>IF(E8="","",N8+R8)</f>
        <v>108</v>
      </c>
      <c r="T8" s="73" t="str">
        <f>+CONCATENATE(AL8," ",AM8)</f>
        <v>DPT + 13</v>
      </c>
      <c r="U8" s="73" t="str">
        <f>IF(E8=0," ",IF(E8="H",IF(G8&lt;=SENIORS_Min,VLOOKUP(J8,Minimas!$A$15:$F$29,6),IF(AND(G8&gt;=U20_Min,G8&lt;=U20_Max),VLOOKUP(J8,Minimas!$A$15:$F$29,5),IF(AND(G8&gt;=U17_Min,G8&lt;=U17_Max),VLOOKUP(J8,Minimas!$A$15:$F$29,4),IF(AND(G8&gt;=U15_Min,G8&lt;=U15_Max),VLOOKUP(J8,Minimas!$A$15:$F$29,3),VLOOKUP(J8,Minimas!$A$15:$F$29,2))))),IF(G8&lt;=SENIORS_Min,VLOOKUP(J8,Minimas!$G$15:$L$29,6),IF(AND(G8&gt;=U20_Min,G8&lt;=U20_Max),VLOOKUP(J8,Minimas!$G$15:$L$29,5),IF(AND(G8&gt;=U17_Min,G8&lt;=U17_Max),VLOOKUP(J8,Minimas!$G$15:$L$29,4),IF(AND(G8&gt;=U15_Min,G8&lt;=U15_Max),VLOOKUP(J8,Minimas!$G$15:$L$29,3),VLOOKUP(J8,Minimas!$G$15:$L$29,2)))))))</f>
        <v>SE F63</v>
      </c>
      <c r="V8" s="74">
        <f t="shared" ref="V8:V35" si="0">IF(E8=" "," ",IF(E8="H",10^(0.722762521*LOG(J8/193.609)^2)*S8,IF(E8="F",10^(0.787004341* LOG(J8/153.757)^2)*S8*1.5,"")))</f>
        <v>219.26146303547992</v>
      </c>
      <c r="Y8" s="112"/>
      <c r="Z8" s="32"/>
      <c r="AA8" s="166">
        <f>$S8-HLOOKUP($U8,Minimas!$C$3:$BO$11,2,FALSE)</f>
        <v>34</v>
      </c>
      <c r="AB8" s="166">
        <f>$S8-HLOOKUP($U8,Minimas!$C$3:$BO$11,3,FALSE)</f>
        <v>13</v>
      </c>
      <c r="AC8" s="166">
        <f>$S8-HLOOKUP($U8,Minimas!$C$3:$BO$11,4,FALSE)</f>
        <v>-8</v>
      </c>
      <c r="AD8" s="166">
        <f>$S8-HLOOKUP($U8,Minimas!$C$3:$BO$11,5,FALSE)</f>
        <v>-29</v>
      </c>
      <c r="AE8" s="166">
        <f>$S8-HLOOKUP($U8,Minimas!$C$3:$BO$11,6,FALSE)</f>
        <v>-46</v>
      </c>
      <c r="AF8" s="166">
        <f>$S8-HLOOKUP($U8,Minimas!$C$3:$BO$11,7,FALSE)</f>
        <v>-61</v>
      </c>
      <c r="AG8" s="166">
        <f>$S8-HLOOKUP($U8,Minimas!$C$3:$BO$11,8,FALSE)</f>
        <v>-97</v>
      </c>
      <c r="AH8" s="166">
        <f>$S8-HLOOKUP($U8,Minimas!$C$3:$BO$11,9,FALSE)</f>
        <v>-103</v>
      </c>
      <c r="AI8" s="166"/>
      <c r="AJ8" s="163" t="str">
        <f t="shared" ref="AJ8:AJ35" si="1">IF(E8=0," ",IF(AH8&gt;=0,$AH$5,IF(AG8&gt;=0,$AG$5,IF(AF8&gt;=0,$AF$5,IF(AE8&gt;=0,$AE$5,IF(AD8&gt;=0,$AD$5,IF(AC8&gt;=0,$AC$5,IF(AB8&gt;=0,$AB$5,$AA$5))))))))</f>
        <v>DPT +</v>
      </c>
      <c r="AK8" s="163"/>
      <c r="AL8" s="163" t="str">
        <f t="shared" ref="AL8:AL35" si="2">IF(AJ8="","",AJ8)</f>
        <v>DPT +</v>
      </c>
      <c r="AM8" s="166">
        <f t="shared" ref="AM8:AM35" si="3">IF(E8=0," ",IF(AH8&gt;=0,AH8,IF(AG8&gt;=0,AG8,IF(AF8&gt;=0,AF8,IF(AE8&gt;=0,AE8,IF(AD8&gt;=0,AD8,IF(AC8&gt;=0,AC8,IF(AB8&gt;=0,AB8,AA8))))))))</f>
        <v>13</v>
      </c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</row>
    <row r="9" spans="1:123" s="5" customFormat="1" ht="34.950000000000003" customHeight="1">
      <c r="B9" s="130"/>
      <c r="C9" s="64"/>
      <c r="D9" s="138"/>
      <c r="E9" s="65" t="s">
        <v>51</v>
      </c>
      <c r="F9" s="66"/>
      <c r="G9" s="110">
        <v>2005</v>
      </c>
      <c r="H9" s="134"/>
      <c r="I9" s="65"/>
      <c r="J9" s="68">
        <v>65</v>
      </c>
      <c r="K9" s="107">
        <v>92</v>
      </c>
      <c r="L9" s="70" t="s">
        <v>52</v>
      </c>
      <c r="M9" s="71"/>
      <c r="N9" s="89">
        <f>IF(E9="","",IF(MAXA(K9:M9)&lt;=0,0,MAXA(K9:M9)))</f>
        <v>92</v>
      </c>
      <c r="O9" s="107">
        <v>110</v>
      </c>
      <c r="P9" s="70"/>
      <c r="Q9" s="71"/>
      <c r="R9" s="89">
        <f>IF(E9="","",IF(MAXA(O9:Q9)&lt;=0,0,MAXA(O9:Q9)))</f>
        <v>110</v>
      </c>
      <c r="S9" s="72">
        <f>IF(E9="","",N9+R9)</f>
        <v>202</v>
      </c>
      <c r="T9" s="73" t="str">
        <f t="shared" ref="T9:T10" si="4">+CONCATENATE(AL9," ",AM9)</f>
        <v>NAT + 26</v>
      </c>
      <c r="U9" s="73" t="str">
        <f>IF(E9=0," ",IF(E9="H",IF(G9&lt;=SENIORS_Min,VLOOKUP(J9,Minimas!$A$15:$F$29,6),IF(AND(G9&gt;=U20_Min,G9&lt;=U20_Max),VLOOKUP(J9,Minimas!$A$15:$F$29,5),IF(AND(G9&gt;=U17_Min,G9&lt;=U17_Max),VLOOKUP(J9,Minimas!$A$15:$F$29,4),IF(AND(G9&gt;=U15_Min,G9&lt;=U15_Max),VLOOKUP(J9,Minimas!$A$15:$F$29,3),VLOOKUP(J9,Minimas!$A$15:$F$29,2))))),IF(G9&lt;=SENIORS_Min,VLOOKUP(J9,Minimas!$G$15:$L$29,6),IF(AND(G9&gt;=U20_Min,G9&lt;=U20_Max),VLOOKUP(J9,Minimas!$G$15:$L$29,5),IF(AND(G9&gt;=U17_Min,G9&lt;=U17_Max),VLOOKUP(J9,Minimas!$G$15:$L$29,4),IF(AND(G9&gt;=U15_Min,G9&lt;=U15_Max),VLOOKUP(J9,Minimas!$G$15:$L$29,3),VLOOKUP(J9,Minimas!$G$15:$L$29,2)))))))</f>
        <v>SE F69</v>
      </c>
      <c r="V9" s="74">
        <f t="shared" si="0"/>
        <v>390.37272370619769</v>
      </c>
      <c r="Y9" s="112"/>
      <c r="Z9" s="32"/>
      <c r="AA9" s="166">
        <f>$S9-HLOOKUP($U9,Minimas!$C$3:$BO$11,2,FALSE)</f>
        <v>125</v>
      </c>
      <c r="AB9" s="166">
        <f>$S9-HLOOKUP($U9,Minimas!$C$3:$BO$11,3,FALSE)</f>
        <v>103</v>
      </c>
      <c r="AC9" s="166">
        <f>$S9-HLOOKUP($U9,Minimas!$C$3:$BO$11,4,FALSE)</f>
        <v>81</v>
      </c>
      <c r="AD9" s="166">
        <f>$S9-HLOOKUP($U9,Minimas!$C$3:$BO$11,5,FALSE)</f>
        <v>59</v>
      </c>
      <c r="AE9" s="166">
        <f>$S9-HLOOKUP($U9,Minimas!$C$3:$BO$11,6,FALSE)</f>
        <v>41</v>
      </c>
      <c r="AF9" s="166">
        <f>$S9-HLOOKUP($U9,Minimas!$C$3:$BO$11,7,FALSE)</f>
        <v>26</v>
      </c>
      <c r="AG9" s="166">
        <f>$S9-HLOOKUP($U9,Minimas!$C$3:$BO$11,8,FALSE)</f>
        <v>-11</v>
      </c>
      <c r="AH9" s="166">
        <f>$S9-HLOOKUP($U9,Minimas!$C$3:$BO$11,9,FALSE)</f>
        <v>-18</v>
      </c>
      <c r="AI9" s="166"/>
      <c r="AJ9" s="163" t="str">
        <f t="shared" si="1"/>
        <v>NAT +</v>
      </c>
      <c r="AK9" s="163"/>
      <c r="AL9" s="163" t="str">
        <f t="shared" si="2"/>
        <v>NAT +</v>
      </c>
      <c r="AM9" s="166">
        <f t="shared" si="3"/>
        <v>26</v>
      </c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</row>
    <row r="10" spans="1:123" s="5" customFormat="1" ht="34.950000000000003" customHeight="1">
      <c r="B10" s="130"/>
      <c r="C10" s="64"/>
      <c r="D10" s="138"/>
      <c r="E10" s="65" t="s">
        <v>51</v>
      </c>
      <c r="F10" s="66"/>
      <c r="G10" s="110">
        <v>2006</v>
      </c>
      <c r="H10" s="135">
        <f>SUM(V7:V11)</f>
        <v>1347.9246196142831</v>
      </c>
      <c r="I10" s="65"/>
      <c r="J10" s="68">
        <v>67.900000000000006</v>
      </c>
      <c r="K10" s="107">
        <v>55</v>
      </c>
      <c r="L10" s="70"/>
      <c r="M10" s="71"/>
      <c r="N10" s="89">
        <f>IF(E10="","",IF(MAXA(K10:M10)&lt;=0,0,MAXA(K10:M10)))</f>
        <v>55</v>
      </c>
      <c r="O10" s="107">
        <v>85</v>
      </c>
      <c r="P10" s="70"/>
      <c r="Q10" s="71"/>
      <c r="R10" s="89">
        <f>IF(E10="","",IF(MAXA(O10:Q10)&lt;=0,0,MAXA(O10:Q10)))</f>
        <v>85</v>
      </c>
      <c r="S10" s="72">
        <f>IF(E10="","",N10+R10)</f>
        <v>140</v>
      </c>
      <c r="T10" s="73" t="str">
        <f t="shared" si="4"/>
        <v>IRG + 19</v>
      </c>
      <c r="U10" s="73" t="str">
        <f>IF(E10=0," ",IF(E10="H",IF(G10&lt;=SENIORS_Min,VLOOKUP(J10,Minimas!$A$15:$F$29,6),IF(AND(G10&gt;=U20_Min,G10&lt;=U20_Max),VLOOKUP(J10,Minimas!$A$15:$F$29,5),IF(AND(G10&gt;=U17_Min,G10&lt;=U17_Max),VLOOKUP(J10,Minimas!$A$15:$F$29,4),IF(AND(G10&gt;=U15_Min,G10&lt;=U15_Max),VLOOKUP(J10,Minimas!$A$15:$F$29,3),VLOOKUP(J10,Minimas!$A$15:$F$29,2))))),IF(G10&lt;=SENIORS_Min,VLOOKUP(J10,Minimas!$G$15:$L$29,6),IF(AND(G10&gt;=U20_Min,G10&lt;=U20_Max),VLOOKUP(J10,Minimas!$G$15:$L$29,5),IF(AND(G10&gt;=U17_Min,G10&lt;=U17_Max),VLOOKUP(J10,Minimas!$G$15:$L$29,4),IF(AND(G10&gt;=U15_Min,G10&lt;=U15_Max),VLOOKUP(J10,Minimas!$G$15:$L$29,3),VLOOKUP(J10,Minimas!$G$15:$L$29,2)))))))</f>
        <v>U20 F69</v>
      </c>
      <c r="V10" s="74">
        <f t="shared" si="0"/>
        <v>263.86514671670102</v>
      </c>
      <c r="Y10" s="112"/>
      <c r="Z10" s="32"/>
      <c r="AA10" s="166">
        <f>$S10-HLOOKUP($U10,Minimas!$C$3:$BO$11,2,FALSE)</f>
        <v>74</v>
      </c>
      <c r="AB10" s="166">
        <f>$S10-HLOOKUP($U10,Minimas!$C$3:$BO$11,3,FALSE)</f>
        <v>63</v>
      </c>
      <c r="AC10" s="166">
        <f>$S10-HLOOKUP($U10,Minimas!$C$3:$BO$11,4,FALSE)</f>
        <v>41</v>
      </c>
      <c r="AD10" s="166">
        <f>$S10-HLOOKUP($U10,Minimas!$C$3:$BO$11,5,FALSE)</f>
        <v>19</v>
      </c>
      <c r="AE10" s="166">
        <f>$S10-HLOOKUP($U10,Minimas!$C$3:$BO$11,6,FALSE)</f>
        <v>-3</v>
      </c>
      <c r="AF10" s="166">
        <f>$S10-HLOOKUP($U10,Minimas!$C$3:$BO$11,7,FALSE)</f>
        <v>-25</v>
      </c>
      <c r="AG10" s="166">
        <f>$S10-HLOOKUP($U10,Minimas!$C$3:$BO$11,8,FALSE)</f>
        <v>-51</v>
      </c>
      <c r="AH10" s="166">
        <f>$S10-HLOOKUP($U10,Minimas!$C$3:$BO$11,9,FALSE)</f>
        <v>-58</v>
      </c>
      <c r="AI10" s="166"/>
      <c r="AJ10" s="163" t="str">
        <f t="shared" si="1"/>
        <v>IRG +</v>
      </c>
      <c r="AK10" s="163"/>
      <c r="AL10" s="163" t="str">
        <f t="shared" si="2"/>
        <v>IRG +</v>
      </c>
      <c r="AM10" s="166">
        <f t="shared" si="3"/>
        <v>19</v>
      </c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</row>
    <row r="11" spans="1:123" s="5" customFormat="1" ht="34.950000000000003" customHeight="1" thickBot="1">
      <c r="B11" s="131"/>
      <c r="C11" s="75"/>
      <c r="D11" s="139"/>
      <c r="E11" s="76" t="s">
        <v>51</v>
      </c>
      <c r="F11" s="77"/>
      <c r="G11" s="111">
        <v>2008</v>
      </c>
      <c r="H11" s="136">
        <f>SUM(V7:V11)</f>
        <v>1347.9246196142831</v>
      </c>
      <c r="I11" s="76"/>
      <c r="J11" s="79">
        <v>66.8</v>
      </c>
      <c r="K11" s="108">
        <v>58</v>
      </c>
      <c r="L11" s="81"/>
      <c r="M11" s="82"/>
      <c r="N11" s="90">
        <f>IF(E11="","",IF(MAXA(K11:M11)&lt;=0,0,MAXA(K11:M11)))</f>
        <v>58</v>
      </c>
      <c r="O11" s="108">
        <v>81</v>
      </c>
      <c r="P11" s="81"/>
      <c r="Q11" s="82"/>
      <c r="R11" s="90">
        <f>IF(E11="","",IF(MAXA(O11:Q11)&lt;=0,0,MAXA(O11:Q11)))</f>
        <v>81</v>
      </c>
      <c r="S11" s="83">
        <f>IF(E11="","",N11+R11)</f>
        <v>139</v>
      </c>
      <c r="T11" s="84" t="str">
        <f>+CONCATENATE(AL11," ",AM11)</f>
        <v>IRG + 18</v>
      </c>
      <c r="U11" s="84" t="str">
        <f>IF(E11=0," ",IF(E11="H",IF(G11&lt;=SENIORS_Min,VLOOKUP(J11,Minimas!$A$15:$F$29,6),IF(AND(G11&gt;=U20_Min,G11&lt;=U20_Max),VLOOKUP(J11,Minimas!$A$15:$F$29,5),IF(AND(G11&gt;=U17_Min,G11&lt;=U17_Max),VLOOKUP(J11,Minimas!$A$15:$F$29,4),IF(AND(G11&gt;=U15_Min,G11&lt;=U15_Max),VLOOKUP(J11,Minimas!$A$15:$F$29,3),VLOOKUP(J11,Minimas!$A$15:$F$29,2))))),IF(G11&lt;=SENIORS_Min,VLOOKUP(J11,Minimas!$G$15:$L$29,6),IF(AND(G11&gt;=U20_Min,G11&lt;=U20_Max),VLOOKUP(J11,Minimas!$G$15:$L$29,5),IF(AND(G11&gt;=U17_Min,G11&lt;=U17_Max),VLOOKUP(J11,Minimas!$G$15:$L$29,4),IF(AND(G11&gt;=U15_Min,G11&lt;=U15_Max),VLOOKUP(J11,Minimas!$G$15:$L$29,3),VLOOKUP(J11,Minimas!$G$15:$L$29,2)))))))</f>
        <v>U20 F69</v>
      </c>
      <c r="V11" s="95">
        <f t="shared" si="0"/>
        <v>264.4061510445822</v>
      </c>
      <c r="Y11" s="112"/>
      <c r="Z11" s="32"/>
      <c r="AA11" s="166">
        <f>$S11-HLOOKUP($U11,Minimas!$C$3:$BO$11,2,FALSE)</f>
        <v>73</v>
      </c>
      <c r="AB11" s="166">
        <f>$S11-HLOOKUP($U11,Minimas!$C$3:$BO$11,3,FALSE)</f>
        <v>62</v>
      </c>
      <c r="AC11" s="166">
        <f>$S11-HLOOKUP($U11,Minimas!$C$3:$BO$11,4,FALSE)</f>
        <v>40</v>
      </c>
      <c r="AD11" s="166">
        <f>$S11-HLOOKUP($U11,Minimas!$C$3:$BO$11,5,FALSE)</f>
        <v>18</v>
      </c>
      <c r="AE11" s="166">
        <f>$S11-HLOOKUP($U11,Minimas!$C$3:$BO$11,6,FALSE)</f>
        <v>-4</v>
      </c>
      <c r="AF11" s="166">
        <f>$S11-HLOOKUP($U11,Minimas!$C$3:$BO$11,7,FALSE)</f>
        <v>-26</v>
      </c>
      <c r="AG11" s="166">
        <f>$S11-HLOOKUP($U11,Minimas!$C$3:$BO$11,8,FALSE)</f>
        <v>-52</v>
      </c>
      <c r="AH11" s="166">
        <f>$S11-HLOOKUP($U11,Minimas!$C$3:$BO$11,9,FALSE)</f>
        <v>-59</v>
      </c>
      <c r="AI11" s="166"/>
      <c r="AJ11" s="163" t="str">
        <f t="shared" si="1"/>
        <v>IRG +</v>
      </c>
      <c r="AK11" s="163"/>
      <c r="AL11" s="163" t="str">
        <f t="shared" si="2"/>
        <v>IRG +</v>
      </c>
      <c r="AM11" s="166">
        <f t="shared" si="3"/>
        <v>18</v>
      </c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</row>
    <row r="12" spans="1:123" s="8" customFormat="1" ht="5.0999999999999996" customHeight="1" thickBot="1">
      <c r="A12" s="7"/>
      <c r="B12" s="39"/>
      <c r="C12" s="40"/>
      <c r="D12" s="41"/>
      <c r="E12" s="42"/>
      <c r="F12" s="50"/>
      <c r="G12" s="43"/>
      <c r="H12" s="44"/>
      <c r="I12" s="45"/>
      <c r="J12" s="46"/>
      <c r="K12" s="47"/>
      <c r="L12" s="47"/>
      <c r="M12" s="47"/>
      <c r="N12" s="48"/>
      <c r="O12" s="47"/>
      <c r="P12" s="47"/>
      <c r="Q12" s="47"/>
      <c r="R12" s="48"/>
      <c r="S12" s="86"/>
      <c r="T12" s="87"/>
      <c r="U12" s="87"/>
      <c r="V12" s="63"/>
      <c r="W12" s="6"/>
      <c r="X12" s="6"/>
      <c r="Y12" s="113"/>
      <c r="Z12" s="30"/>
      <c r="AA12" s="166" t="e">
        <f>$S12-HLOOKUP($U12,Minimas!$C$3:$BO$11,2,FALSE)</f>
        <v>#N/A</v>
      </c>
      <c r="AB12" s="166" t="e">
        <f>$S12-HLOOKUP($U12,Minimas!$C$3:$BO$11,3,FALSE)</f>
        <v>#N/A</v>
      </c>
      <c r="AC12" s="166" t="e">
        <f>$S12-HLOOKUP($U12,Minimas!$C$3:$BO$11,4,FALSE)</f>
        <v>#N/A</v>
      </c>
      <c r="AD12" s="166" t="e">
        <f>$S12-HLOOKUP($U12,Minimas!$C$3:$BO$11,5,FALSE)</f>
        <v>#N/A</v>
      </c>
      <c r="AE12" s="166" t="e">
        <f>$S12-HLOOKUP($U12,Minimas!$C$3:$BO$11,6,FALSE)</f>
        <v>#N/A</v>
      </c>
      <c r="AF12" s="166" t="e">
        <f>$S12-HLOOKUP($U12,Minimas!$C$3:$BO$11,7,FALSE)</f>
        <v>#N/A</v>
      </c>
      <c r="AG12" s="166" t="e">
        <f>$S12-HLOOKUP($U12,Minimas!$C$3:$BO$11,8,FALSE)</f>
        <v>#N/A</v>
      </c>
      <c r="AH12" s="166" t="e">
        <f>$S12-HLOOKUP($U12,Minimas!$C$3:$BO$11,9,FALSE)</f>
        <v>#N/A</v>
      </c>
      <c r="AI12" s="166"/>
      <c r="AJ12" s="163" t="str">
        <f t="shared" si="1"/>
        <v xml:space="preserve"> </v>
      </c>
      <c r="AK12" s="163"/>
      <c r="AL12" s="163" t="str">
        <f t="shared" si="2"/>
        <v xml:space="preserve"> </v>
      </c>
      <c r="AM12" s="166" t="str">
        <f t="shared" si="3"/>
        <v xml:space="preserve"> </v>
      </c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</row>
    <row r="13" spans="1:123" s="5" customFormat="1" ht="34.950000000000003" customHeight="1">
      <c r="B13" s="128" t="s">
        <v>53</v>
      </c>
      <c r="C13" s="53"/>
      <c r="D13" s="126">
        <f>IF(H16="","",RANK(H16,$Y$37:$Y$44,0))</f>
        <v>4</v>
      </c>
      <c r="E13" s="54" t="s">
        <v>51</v>
      </c>
      <c r="F13" s="55"/>
      <c r="G13" s="56">
        <v>2003</v>
      </c>
      <c r="H13" s="132"/>
      <c r="I13" s="54"/>
      <c r="J13" s="57">
        <v>69</v>
      </c>
      <c r="K13" s="58">
        <v>90</v>
      </c>
      <c r="L13" s="59"/>
      <c r="M13" s="60"/>
      <c r="N13" s="88">
        <f>IF(E13="","",IF(MAXA(K13:M13)&lt;=0,0,MAXA(K13:M13)))</f>
        <v>90</v>
      </c>
      <c r="O13" s="58">
        <v>115</v>
      </c>
      <c r="P13" s="59"/>
      <c r="Q13" s="60"/>
      <c r="R13" s="88">
        <f>IF(E13="","",IF(MAXA(O13:Q13)&lt;=0,0,MAXA(O13:Q13)))</f>
        <v>115</v>
      </c>
      <c r="S13" s="61">
        <f>IF(E13="","",N13+R13)</f>
        <v>205</v>
      </c>
      <c r="T13" s="62" t="str">
        <f>+CONCATENATE(AL13," ",AM13)</f>
        <v>NAT + 29</v>
      </c>
      <c r="U13" s="62" t="str">
        <f>IF(E13=0," ",IF(E13="H",IF(G13&lt;=SENIORS_Min,VLOOKUP(J13,Minimas!$A$15:$F$29,6),IF(AND(G13&gt;=U20_Min,G13&lt;=U20_Max),VLOOKUP(J13,Minimas!$A$15:$F$29,5),IF(AND(G13&gt;=U17_Min,G13&lt;=U17_Max),VLOOKUP(J13,Minimas!$A$15:$F$29,4),IF(AND(G13&gt;=U15_Min,G13&lt;=U15_Max),VLOOKUP(J13,Minimas!$A$15:$F$29,3),VLOOKUP(J13,Minimas!$A$15:$F$29,2))))),IF(G13&lt;=SENIORS_Min,VLOOKUP(J13,Minimas!$G$15:$L$29,6),IF(AND(G13&gt;=U20_Min,G13&lt;=U20_Max),VLOOKUP(J13,Minimas!$G$15:$L$29,5),IF(AND(G13&gt;=U17_Min,G13&lt;=U17_Max),VLOOKUP(J13,Minimas!$G$15:$L$29,4),IF(AND(G13&gt;=U15_Min,G13&lt;=U15_Max),VLOOKUP(J13,Minimas!$G$15:$L$29,3),VLOOKUP(J13,Minimas!$G$15:$L$29,2)))))))</f>
        <v>SE F69</v>
      </c>
      <c r="V13" s="63">
        <f>IF(E13=" "," ",IF(E13="H",10^(0.722762521*LOG(J13/193.609)^2)*S13,IF(E13="F",10^(0.787004341* LOG(J13/153.757)^2)*S13*1.5,"")))</f>
        <v>382.9540961285461</v>
      </c>
      <c r="Y13" s="112"/>
      <c r="Z13" s="32"/>
      <c r="AA13" s="166">
        <f>$S13-HLOOKUP($U13,Minimas!$C$3:$BO$11,2,FALSE)</f>
        <v>128</v>
      </c>
      <c r="AB13" s="166">
        <f>$S13-HLOOKUP($U13,Minimas!$C$3:$BO$11,3,FALSE)</f>
        <v>106</v>
      </c>
      <c r="AC13" s="166">
        <f>$S13-HLOOKUP($U13,Minimas!$C$3:$BO$11,4,FALSE)</f>
        <v>84</v>
      </c>
      <c r="AD13" s="166">
        <f>$S13-HLOOKUP($U13,Minimas!$C$3:$BO$11,5,FALSE)</f>
        <v>62</v>
      </c>
      <c r="AE13" s="166">
        <f>$S13-HLOOKUP($U13,Minimas!$C$3:$BO$11,6,FALSE)</f>
        <v>44</v>
      </c>
      <c r="AF13" s="166">
        <f>$S13-HLOOKUP($U13,Minimas!$C$3:$BO$11,7,FALSE)</f>
        <v>29</v>
      </c>
      <c r="AG13" s="166">
        <f>$S13-HLOOKUP($U13,Minimas!$C$3:$BO$11,8,FALSE)</f>
        <v>-8</v>
      </c>
      <c r="AH13" s="166">
        <f>$S13-HLOOKUP($U13,Minimas!$C$3:$BO$11,9,FALSE)</f>
        <v>-15</v>
      </c>
      <c r="AI13" s="166"/>
      <c r="AJ13" s="163" t="str">
        <f t="shared" ref="AJ13" si="5">IF(E13=0," ",IF(AH13&gt;=0,$AH$5,IF(AG13&gt;=0,$AG$5,IF(AF13&gt;=0,$AF$5,IF(AE13&gt;=0,$AE$5,IF(AD13&gt;=0,$AD$5,IF(AC13&gt;=0,$AC$5,IF(AB13&gt;=0,$AB$5,$AA$5))))))))</f>
        <v>NAT +</v>
      </c>
      <c r="AK13" s="163"/>
      <c r="AL13" s="163" t="str">
        <f t="shared" ref="AL13" si="6">IF(AJ13="","",AJ13)</f>
        <v>NAT +</v>
      </c>
      <c r="AM13" s="166">
        <f t="shared" ref="AM13" si="7">IF(E13=0," ",IF(AH13&gt;=0,AH13,IF(AG13&gt;=0,AG13,IF(AF13&gt;=0,AF13,IF(AE13&gt;=0,AE13,IF(AD13&gt;=0,AD13,IF(AC13&gt;=0,AC13,IF(AB13&gt;=0,AB13,AA13))))))))</f>
        <v>29</v>
      </c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</row>
    <row r="14" spans="1:123" s="5" customFormat="1" ht="34.950000000000003" customHeight="1">
      <c r="B14" s="129"/>
      <c r="C14" s="64"/>
      <c r="D14" s="126"/>
      <c r="E14" s="65" t="s">
        <v>50</v>
      </c>
      <c r="F14" s="66"/>
      <c r="G14" s="67"/>
      <c r="H14" s="133"/>
      <c r="I14" s="65"/>
      <c r="J14" s="68">
        <v>59</v>
      </c>
      <c r="K14" s="69">
        <v>65</v>
      </c>
      <c r="L14" s="70"/>
      <c r="M14" s="71"/>
      <c r="N14" s="89">
        <f>IF(E14="","",IF(MAXA(K14:M14)&lt;=0,0,MAXA(K14:M14)))</f>
        <v>65</v>
      </c>
      <c r="O14" s="69">
        <v>80</v>
      </c>
      <c r="P14" s="70"/>
      <c r="Q14" s="71"/>
      <c r="R14" s="89">
        <f>IF(E14="","",IF(MAXA(O14:Q14)&lt;=0,0,MAXA(O14:Q14)))</f>
        <v>80</v>
      </c>
      <c r="S14" s="72">
        <f>IF(E14="","",N14+R14)</f>
        <v>145</v>
      </c>
      <c r="T14" s="73" t="str">
        <f>+CONCATENATE(AL14," ",AM14)</f>
        <v>DPT + 23</v>
      </c>
      <c r="U14" s="73" t="str">
        <f>IF(E14=0," ",IF(E14="H",IF(G14&lt;=SENIORS_Min,VLOOKUP(J14,Minimas!$A$15:$F$29,6),IF(AND(G14&gt;=U20_Min,G14&lt;=U20_Max),VLOOKUP(J14,Minimas!$A$15:$F$29,5),IF(AND(G14&gt;=U17_Min,G14&lt;=U17_Max),VLOOKUP(J14,Minimas!$A$15:$F$29,4),IF(AND(G14&gt;=U15_Min,G14&lt;=U15_Max),VLOOKUP(J14,Minimas!$A$15:$F$29,3),VLOOKUP(J14,Minimas!$A$15:$F$29,2))))),IF(G14&lt;=SENIORS_Min,VLOOKUP(J14,Minimas!$G$15:$L$29,6),IF(AND(G14&gt;=U20_Min,G14&lt;=U20_Max),VLOOKUP(J14,Minimas!$G$15:$L$29,5),IF(AND(G14&gt;=U17_Min,G14&lt;=U17_Max),VLOOKUP(J14,Minimas!$G$15:$L$29,4),IF(AND(G14&gt;=U15_Min,G14&lt;=U15_Max),VLOOKUP(J14,Minimas!$G$15:$L$29,3),VLOOKUP(J14,Minimas!$G$15:$L$29,2)))))))</f>
        <v>SE M60</v>
      </c>
      <c r="V14" s="74">
        <f t="shared" si="0"/>
        <v>225.87216229474754</v>
      </c>
      <c r="Z14" s="32"/>
      <c r="AA14" s="166">
        <f>$S14-HLOOKUP($U14,Minimas!$C$3:$BO$11,2,FALSE)</f>
        <v>50</v>
      </c>
      <c r="AB14" s="166">
        <f>$S14-HLOOKUP($U14,Minimas!$C$3:$BO$11,3,FALSE)</f>
        <v>23</v>
      </c>
      <c r="AC14" s="166">
        <f>$S14-HLOOKUP($U14,Minimas!$C$3:$BO$11,4,FALSE)</f>
        <v>-4</v>
      </c>
      <c r="AD14" s="166">
        <f>$S14-HLOOKUP($U14,Minimas!$C$3:$BO$11,5,FALSE)</f>
        <v>-31</v>
      </c>
      <c r="AE14" s="166">
        <f>$S14-HLOOKUP($U14,Minimas!$C$3:$BO$11,6,FALSE)</f>
        <v>-53</v>
      </c>
      <c r="AF14" s="166">
        <f>$S14-HLOOKUP($U14,Minimas!$C$3:$BO$11,7,FALSE)</f>
        <v>-72</v>
      </c>
      <c r="AG14" s="166">
        <f>$S14-HLOOKUP($U14,Minimas!$C$3:$BO$11,8,FALSE)</f>
        <v>-118</v>
      </c>
      <c r="AH14" s="166">
        <f>$S14-HLOOKUP($U14,Minimas!$C$3:$BO$11,9,FALSE)</f>
        <v>-126</v>
      </c>
      <c r="AI14" s="166"/>
      <c r="AJ14" s="163" t="str">
        <f t="shared" si="1"/>
        <v>DPT +</v>
      </c>
      <c r="AK14" s="163"/>
      <c r="AL14" s="163" t="str">
        <f t="shared" si="2"/>
        <v>DPT +</v>
      </c>
      <c r="AM14" s="166">
        <f t="shared" si="3"/>
        <v>23</v>
      </c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</row>
    <row r="15" spans="1:123" s="5" customFormat="1" ht="34.950000000000003" customHeight="1">
      <c r="B15" s="130"/>
      <c r="C15" s="64"/>
      <c r="D15" s="126"/>
      <c r="E15" s="65" t="s">
        <v>50</v>
      </c>
      <c r="F15" s="66"/>
      <c r="G15" s="67"/>
      <c r="H15" s="134"/>
      <c r="I15" s="65"/>
      <c r="J15" s="68">
        <v>61</v>
      </c>
      <c r="K15" s="69">
        <v>70</v>
      </c>
      <c r="L15" s="70"/>
      <c r="M15" s="71"/>
      <c r="N15" s="89">
        <f>IF(E15="","",IF(MAXA(K15:M15)&lt;=0,0,MAXA(K15:M15)))</f>
        <v>70</v>
      </c>
      <c r="O15" s="69">
        <v>90</v>
      </c>
      <c r="P15" s="70"/>
      <c r="Q15" s="71"/>
      <c r="R15" s="89">
        <f>IF(E15="","",IF(MAXA(O15:Q15)&lt;=0,0,MAXA(O15:Q15)))</f>
        <v>90</v>
      </c>
      <c r="S15" s="72">
        <f>IF(E15="","",N15+R15)</f>
        <v>160</v>
      </c>
      <c r="T15" s="73" t="str">
        <f t="shared" ref="T15:T16" si="8">+CONCATENATE(AL15," ",AM15)</f>
        <v>REG + 3</v>
      </c>
      <c r="U15" s="73" t="str">
        <f>IF(E15=0," ",IF(E15="H",IF(G15&lt;=SENIORS_Min,VLOOKUP(J15,Minimas!$A$15:$F$29,6),IF(AND(G15&gt;=U20_Min,G15&lt;=U20_Max),VLOOKUP(J15,Minimas!$A$15:$F$29,5),IF(AND(G15&gt;=U17_Min,G15&lt;=U17_Max),VLOOKUP(J15,Minimas!$A$15:$F$29,4),IF(AND(G15&gt;=U15_Min,G15&lt;=U15_Max),VLOOKUP(J15,Minimas!$A$15:$F$29,3),VLOOKUP(J15,Minimas!$A$15:$F$29,2))))),IF(G15&lt;=SENIORS_Min,VLOOKUP(J15,Minimas!$G$15:$L$29,6),IF(AND(G15&gt;=U20_Min,G15&lt;=U20_Max),VLOOKUP(J15,Minimas!$G$15:$L$29,5),IF(AND(G15&gt;=U17_Min,G15&lt;=U17_Max),VLOOKUP(J15,Minimas!$G$15:$L$29,4),IF(AND(G15&gt;=U15_Min,G15&lt;=U15_Max),VLOOKUP(J15,Minimas!$G$15:$L$29,3),VLOOKUP(J15,Minimas!$G$15:$L$29,2)))))))</f>
        <v>SE M65</v>
      </c>
      <c r="V15" s="74">
        <f t="shared" si="0"/>
        <v>243.20123182820913</v>
      </c>
      <c r="Z15" s="32"/>
      <c r="AA15" s="166">
        <f>$S15-HLOOKUP($U15,Minimas!$C$3:$BO$11,2,FALSE)</f>
        <v>60</v>
      </c>
      <c r="AB15" s="166">
        <f>$S15-HLOOKUP($U15,Minimas!$C$3:$BO$11,3,FALSE)</f>
        <v>31</v>
      </c>
      <c r="AC15" s="166">
        <f>$S15-HLOOKUP($U15,Minimas!$C$3:$BO$11,4,FALSE)</f>
        <v>3</v>
      </c>
      <c r="AD15" s="166">
        <f>$S15-HLOOKUP($U15,Minimas!$C$3:$BO$11,5,FALSE)</f>
        <v>-26</v>
      </c>
      <c r="AE15" s="166">
        <f>$S15-HLOOKUP($U15,Minimas!$C$3:$BO$11,6,FALSE)</f>
        <v>-49</v>
      </c>
      <c r="AF15" s="166">
        <f>$S15-HLOOKUP($U15,Minimas!$C$3:$BO$11,7,FALSE)</f>
        <v>-69</v>
      </c>
      <c r="AG15" s="166">
        <f>$S15-HLOOKUP($U15,Minimas!$C$3:$BO$11,8,FALSE)</f>
        <v>-117</v>
      </c>
      <c r="AH15" s="166">
        <f>$S15-HLOOKUP($U15,Minimas!$C$3:$BO$11,9,FALSE)</f>
        <v>-126</v>
      </c>
      <c r="AI15" s="166"/>
      <c r="AJ15" s="163" t="str">
        <f t="shared" si="1"/>
        <v>REG +</v>
      </c>
      <c r="AK15" s="163"/>
      <c r="AL15" s="163" t="str">
        <f t="shared" si="2"/>
        <v>REG +</v>
      </c>
      <c r="AM15" s="166">
        <f t="shared" si="3"/>
        <v>3</v>
      </c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</row>
    <row r="16" spans="1:123" s="5" customFormat="1" ht="34.950000000000003" customHeight="1">
      <c r="B16" s="130"/>
      <c r="C16" s="64"/>
      <c r="D16" s="126"/>
      <c r="E16" s="65" t="s">
        <v>50</v>
      </c>
      <c r="F16" s="66"/>
      <c r="G16" s="67"/>
      <c r="H16" s="135">
        <f>SUM(V13:V17)</f>
        <v>1308.105527004921</v>
      </c>
      <c r="I16" s="65" t="s">
        <v>36</v>
      </c>
      <c r="J16" s="68">
        <v>82</v>
      </c>
      <c r="K16" s="69">
        <v>55</v>
      </c>
      <c r="L16" s="70"/>
      <c r="M16" s="71"/>
      <c r="N16" s="89">
        <f>IF(E16="","",IF(MAXA(K16:M16)&lt;=0,0,MAXA(K16:M16)))</f>
        <v>55</v>
      </c>
      <c r="O16" s="69">
        <v>75</v>
      </c>
      <c r="P16" s="70"/>
      <c r="Q16" s="71"/>
      <c r="R16" s="89">
        <f>IF(E16="","",IF(MAXA(O16:Q16)&lt;=0,0,MAXA(O16:Q16)))</f>
        <v>75</v>
      </c>
      <c r="S16" s="72">
        <f>IF(E16="","",N16+R16)</f>
        <v>130</v>
      </c>
      <c r="T16" s="73" t="str">
        <f t="shared" si="8"/>
        <v>DEB 7</v>
      </c>
      <c r="U16" s="73" t="str">
        <f>IF(E16=0," ",IF(E16="H",IF(G16&lt;=SENIORS_Min,VLOOKUP(J16,Minimas!$A$15:$F$29,6),IF(AND(G16&gt;=U20_Min,G16&lt;=U20_Max),VLOOKUP(J16,Minimas!$A$15:$F$29,5),IF(AND(G16&gt;=U17_Min,G16&lt;=U17_Max),VLOOKUP(J16,Minimas!$A$15:$F$29,4),IF(AND(G16&gt;=U15_Min,G16&lt;=U15_Max),VLOOKUP(J16,Minimas!$A$15:$F$29,3),VLOOKUP(J16,Minimas!$A$15:$F$29,2))))),IF(G16&lt;=SENIORS_Min,VLOOKUP(J16,Minimas!$G$15:$L$29,6),IF(AND(G16&gt;=U20_Min,G16&lt;=U20_Max),VLOOKUP(J16,Minimas!$G$15:$L$29,5),IF(AND(G16&gt;=U17_Min,G16&lt;=U17_Max),VLOOKUP(J16,Minimas!$G$15:$L$29,4),IF(AND(G16&gt;=U15_Min,G16&lt;=U15_Max),VLOOKUP(J16,Minimas!$G$15:$L$29,3),VLOOKUP(J16,Minimas!$G$15:$L$29,2)))))))</f>
        <v>SE M88</v>
      </c>
      <c r="V16" s="74">
        <f t="shared" si="0"/>
        <v>163.89315246155539</v>
      </c>
      <c r="Z16" s="32"/>
      <c r="AA16" s="166">
        <f>$S16-HLOOKUP($U16,Minimas!$C$3:$BO$11,2,FALSE)</f>
        <v>7</v>
      </c>
      <c r="AB16" s="166">
        <f>$S16-HLOOKUP($U16,Minimas!$C$3:$BO$11,3,FALSE)</f>
        <v>-28</v>
      </c>
      <c r="AC16" s="166">
        <f>$S16-HLOOKUP($U16,Minimas!$C$3:$BO$11,4,FALSE)</f>
        <v>-63</v>
      </c>
      <c r="AD16" s="166">
        <f>$S16-HLOOKUP($U16,Minimas!$C$3:$BO$11,5,FALSE)</f>
        <v>-98</v>
      </c>
      <c r="AE16" s="166">
        <f>$S16-HLOOKUP($U16,Minimas!$C$3:$BO$11,6,FALSE)</f>
        <v>-126</v>
      </c>
      <c r="AF16" s="166">
        <f>$S16-HLOOKUP($U16,Minimas!$C$3:$BO$11,7,FALSE)</f>
        <v>-150</v>
      </c>
      <c r="AG16" s="166">
        <f>$S16-HLOOKUP($U16,Minimas!$C$3:$BO$11,8,FALSE)</f>
        <v>-210</v>
      </c>
      <c r="AH16" s="166">
        <f>$S16-HLOOKUP($U16,Minimas!$C$3:$BO$11,9,FALSE)</f>
        <v>-220</v>
      </c>
      <c r="AI16" s="166"/>
      <c r="AJ16" s="163" t="str">
        <f t="shared" si="1"/>
        <v>DEB</v>
      </c>
      <c r="AK16" s="163"/>
      <c r="AL16" s="163" t="str">
        <f t="shared" si="2"/>
        <v>DEB</v>
      </c>
      <c r="AM16" s="166">
        <f t="shared" si="3"/>
        <v>7</v>
      </c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</row>
    <row r="17" spans="1:123" s="5" customFormat="1" ht="34.950000000000003" customHeight="1" thickBot="1">
      <c r="B17" s="131"/>
      <c r="C17" s="75"/>
      <c r="D17" s="127"/>
      <c r="E17" s="76" t="s">
        <v>51</v>
      </c>
      <c r="F17" s="77"/>
      <c r="G17" s="78"/>
      <c r="H17" s="136">
        <f>SUM(V13:V17)</f>
        <v>1308.105527004921</v>
      </c>
      <c r="I17" s="76" t="s">
        <v>36</v>
      </c>
      <c r="J17" s="79">
        <v>72</v>
      </c>
      <c r="K17" s="80">
        <v>70</v>
      </c>
      <c r="L17" s="81"/>
      <c r="M17" s="82"/>
      <c r="N17" s="90">
        <f>IF(E17="","",IF(MAXA(K17:M17)&lt;=0,0,MAXA(K17:M17)))</f>
        <v>70</v>
      </c>
      <c r="O17" s="80">
        <v>90</v>
      </c>
      <c r="P17" s="81"/>
      <c r="Q17" s="82"/>
      <c r="R17" s="90">
        <f>IF(E17="","",IF(MAXA(O17:Q17)&lt;=0,0,MAXA(O17:Q17)))</f>
        <v>90</v>
      </c>
      <c r="S17" s="83">
        <f>IF(E17="","",N17+R17)</f>
        <v>160</v>
      </c>
      <c r="T17" s="84" t="str">
        <f>+CONCATENATE(AL17," ",AM17)</f>
        <v>IRG + 12</v>
      </c>
      <c r="U17" s="84" t="str">
        <f>IF(E17=0," ",IF(E17="H",IF(G17&lt;=SENIORS_Min,VLOOKUP(J17,Minimas!$A$15:$F$29,6),IF(AND(G17&gt;=U20_Min,G17&lt;=U20_Max),VLOOKUP(J17,Minimas!$A$15:$F$29,5),IF(AND(G17&gt;=U17_Min,G17&lt;=U17_Max),VLOOKUP(J17,Minimas!$A$15:$F$29,4),IF(AND(G17&gt;=U15_Min,G17&lt;=U15_Max),VLOOKUP(J17,Minimas!$A$15:$F$29,3),VLOOKUP(J17,Minimas!$A$15:$F$29,2))))),IF(G17&lt;=SENIORS_Min,VLOOKUP(J17,Minimas!$G$15:$L$29,6),IF(AND(G17&gt;=U20_Min,G17&lt;=U20_Max),VLOOKUP(J17,Minimas!$G$15:$L$29,5),IF(AND(G17&gt;=U17_Min,G17&lt;=U17_Max),VLOOKUP(J17,Minimas!$G$15:$L$29,4),IF(AND(G17&gt;=U15_Min,G17&lt;=U15_Max),VLOOKUP(J17,Minimas!$G$15:$L$29,3),VLOOKUP(J17,Minimas!$G$15:$L$29,2)))))))</f>
        <v>SE F77</v>
      </c>
      <c r="V17" s="85">
        <f t="shared" si="0"/>
        <v>292.18488429186294</v>
      </c>
      <c r="Z17" s="32"/>
      <c r="AA17" s="166">
        <f>$S17-HLOOKUP($U17,Minimas!$C$3:$BO$11,2,FALSE)</f>
        <v>80</v>
      </c>
      <c r="AB17" s="166">
        <f>$S17-HLOOKUP($U17,Minimas!$C$3:$BO$11,3,FALSE)</f>
        <v>57</v>
      </c>
      <c r="AC17" s="166">
        <f>$S17-HLOOKUP($U17,Minimas!$C$3:$BO$11,4,FALSE)</f>
        <v>35</v>
      </c>
      <c r="AD17" s="166">
        <f>$S17-HLOOKUP($U17,Minimas!$C$3:$BO$11,5,FALSE)</f>
        <v>12</v>
      </c>
      <c r="AE17" s="166">
        <f>$S17-HLOOKUP($U17,Minimas!$C$3:$BO$11,6,FALSE)</f>
        <v>-6</v>
      </c>
      <c r="AF17" s="166">
        <f>$S17-HLOOKUP($U17,Minimas!$C$3:$BO$11,7,FALSE)</f>
        <v>-22</v>
      </c>
      <c r="AG17" s="166">
        <f>$S17-HLOOKUP($U17,Minimas!$C$3:$BO$11,8,FALSE)</f>
        <v>-61</v>
      </c>
      <c r="AH17" s="166">
        <f>$S17-HLOOKUP($U17,Minimas!$C$3:$BO$11,9,FALSE)</f>
        <v>-68</v>
      </c>
      <c r="AI17" s="166"/>
      <c r="AJ17" s="163" t="str">
        <f t="shared" si="1"/>
        <v>IRG +</v>
      </c>
      <c r="AK17" s="163"/>
      <c r="AL17" s="163" t="str">
        <f t="shared" si="2"/>
        <v>IRG +</v>
      </c>
      <c r="AM17" s="166">
        <f t="shared" si="3"/>
        <v>12</v>
      </c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</row>
    <row r="18" spans="1:123" s="5" customFormat="1" ht="8.4" customHeight="1" thickBot="1">
      <c r="B18" s="96"/>
      <c r="C18" s="16"/>
      <c r="D18" s="97"/>
      <c r="E18" s="98"/>
      <c r="F18" s="99"/>
      <c r="G18" s="100"/>
      <c r="H18" s="98"/>
      <c r="I18" s="98"/>
      <c r="J18" s="101"/>
      <c r="K18" s="102"/>
      <c r="L18" s="102"/>
      <c r="M18" s="102"/>
      <c r="N18" s="103"/>
      <c r="O18" s="102"/>
      <c r="P18" s="102"/>
      <c r="Q18" s="102"/>
      <c r="R18" s="103"/>
      <c r="S18" s="104"/>
      <c r="T18" s="105"/>
      <c r="U18" s="105"/>
      <c r="V18" s="95"/>
      <c r="Z18" s="32"/>
      <c r="AA18" s="166" t="e">
        <f>$S18-HLOOKUP($U18,Minimas!$C$3:$BO$11,2,FALSE)</f>
        <v>#N/A</v>
      </c>
      <c r="AB18" s="166" t="e">
        <f>$S18-HLOOKUP($U18,Minimas!$C$3:$BO$11,3,FALSE)</f>
        <v>#N/A</v>
      </c>
      <c r="AC18" s="166" t="e">
        <f>$S18-HLOOKUP($U18,Minimas!$C$3:$BO$11,4,FALSE)</f>
        <v>#N/A</v>
      </c>
      <c r="AD18" s="166" t="e">
        <f>$S18-HLOOKUP($U18,Minimas!$C$3:$BO$11,5,FALSE)</f>
        <v>#N/A</v>
      </c>
      <c r="AE18" s="166" t="e">
        <f>$S18-HLOOKUP($U18,Minimas!$C$3:$BO$11,6,FALSE)</f>
        <v>#N/A</v>
      </c>
      <c r="AF18" s="166" t="e">
        <f>$S18-HLOOKUP($U18,Minimas!$C$3:$BO$11,7,FALSE)</f>
        <v>#N/A</v>
      </c>
      <c r="AG18" s="166" t="e">
        <f>$S18-HLOOKUP($U18,Minimas!$C$3:$BO$11,8,FALSE)</f>
        <v>#N/A</v>
      </c>
      <c r="AH18" s="166" t="e">
        <f>$S18-HLOOKUP($U18,Minimas!$C$3:$BO$11,9,FALSE)</f>
        <v>#N/A</v>
      </c>
      <c r="AI18" s="166"/>
      <c r="AJ18" s="163" t="str">
        <f t="shared" si="1"/>
        <v xml:space="preserve"> </v>
      </c>
      <c r="AK18" s="163"/>
      <c r="AL18" s="163" t="str">
        <f t="shared" si="2"/>
        <v xml:space="preserve"> </v>
      </c>
      <c r="AM18" s="166" t="str">
        <f t="shared" si="3"/>
        <v xml:space="preserve"> </v>
      </c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</row>
    <row r="19" spans="1:123" s="5" customFormat="1" ht="34.950000000000003" customHeight="1">
      <c r="B19" s="128" t="s">
        <v>53</v>
      </c>
      <c r="C19" s="53"/>
      <c r="D19" s="137">
        <f>IF(H22="","",RANK(H22,$Y$37:$Y$44,0))</f>
        <v>2</v>
      </c>
      <c r="E19" s="54" t="s">
        <v>51</v>
      </c>
      <c r="F19" s="55"/>
      <c r="G19" s="56"/>
      <c r="H19" s="132"/>
      <c r="I19" s="54"/>
      <c r="J19" s="57">
        <v>69</v>
      </c>
      <c r="K19" s="58">
        <v>90</v>
      </c>
      <c r="L19" s="59"/>
      <c r="M19" s="60"/>
      <c r="N19" s="88">
        <f>IF(E19="","",IF(MAXA(K19:M19)&lt;=0,0,MAXA(K19:M19)))</f>
        <v>90</v>
      </c>
      <c r="O19" s="58">
        <v>115</v>
      </c>
      <c r="P19" s="59"/>
      <c r="Q19" s="60"/>
      <c r="R19" s="88">
        <f>IF(E19="","",IF(MAXA(O19:Q19)&lt;=0,0,MAXA(O19:Q19)))</f>
        <v>115</v>
      </c>
      <c r="S19" s="61">
        <f>IF(E19="","",N19+R19)</f>
        <v>205</v>
      </c>
      <c r="T19" s="62" t="str">
        <f>+CONCATENATE(AL19," ",AM19)</f>
        <v>NAT + 29</v>
      </c>
      <c r="U19" s="62" t="str">
        <f>IF(E19=0," ",IF(E19="H",IF(G19&lt;=SENIORS_Min,VLOOKUP(J19,Minimas!$A$15:$F$29,6),IF(AND(G19&gt;=U20_Min,G19&lt;=U20_Max),VLOOKUP(J19,Minimas!$A$15:$F$29,5),IF(AND(G19&gt;=U17_Min,G19&lt;=U17_Max),VLOOKUP(J19,Minimas!$A$15:$F$29,4),IF(AND(G19&gt;=U15_Min,G19&lt;=U15_Max),VLOOKUP(J19,Minimas!$A$15:$F$29,3),VLOOKUP(J19,Minimas!$A$15:$F$29,2))))),IF(G19&lt;=SENIORS_Min,VLOOKUP(J19,Minimas!$G$15:$L$29,6),IF(AND(G19&gt;=U20_Min,G19&lt;=U20_Max),VLOOKUP(J19,Minimas!$G$15:$L$29,5),IF(AND(G19&gt;=U17_Min,G19&lt;=U17_Max),VLOOKUP(J19,Minimas!$G$15:$L$29,4),IF(AND(G19&gt;=U15_Min,G19&lt;=U15_Max),VLOOKUP(J19,Minimas!$G$15:$L$29,3),VLOOKUP(J19,Minimas!$G$15:$L$29,2)))))))</f>
        <v>SE F69</v>
      </c>
      <c r="V19" s="63">
        <f>IF(E19=" "," ",IF(E19="H",10^(0.722762521*LOG(J19/193.609)^2)*S19,IF(E19="F",10^(0.787004341* LOG(J19/153.757)^2)*S19*1.5,"")))</f>
        <v>382.9540961285461</v>
      </c>
      <c r="Z19" s="32"/>
      <c r="AA19" s="166">
        <f>$S19-HLOOKUP($U19,Minimas!$C$3:$BO$11,2,FALSE)</f>
        <v>128</v>
      </c>
      <c r="AB19" s="166">
        <f>$S19-HLOOKUP($U19,Minimas!$C$3:$BO$11,3,FALSE)</f>
        <v>106</v>
      </c>
      <c r="AC19" s="166">
        <f>$S19-HLOOKUP($U19,Minimas!$C$3:$BO$11,4,FALSE)</f>
        <v>84</v>
      </c>
      <c r="AD19" s="166">
        <f>$S19-HLOOKUP($U19,Minimas!$C$3:$BO$11,5,FALSE)</f>
        <v>62</v>
      </c>
      <c r="AE19" s="166">
        <f>$S19-HLOOKUP($U19,Minimas!$C$3:$BO$11,6,FALSE)</f>
        <v>44</v>
      </c>
      <c r="AF19" s="166">
        <f>$S19-HLOOKUP($U19,Minimas!$C$3:$BO$11,7,FALSE)</f>
        <v>29</v>
      </c>
      <c r="AG19" s="166">
        <f>$S19-HLOOKUP($U19,Minimas!$C$3:$BO$11,8,FALSE)</f>
        <v>-8</v>
      </c>
      <c r="AH19" s="166">
        <f>$S19-HLOOKUP($U19,Minimas!$C$3:$BO$11,9,FALSE)</f>
        <v>-15</v>
      </c>
      <c r="AI19" s="166"/>
      <c r="AJ19" s="163" t="str">
        <f t="shared" si="1"/>
        <v>NAT +</v>
      </c>
      <c r="AK19" s="163"/>
      <c r="AL19" s="163" t="str">
        <f t="shared" si="2"/>
        <v>NAT +</v>
      </c>
      <c r="AM19" s="166">
        <f t="shared" si="3"/>
        <v>29</v>
      </c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</row>
    <row r="20" spans="1:123" s="5" customFormat="1" ht="34.950000000000003" customHeight="1">
      <c r="B20" s="129"/>
      <c r="C20" s="64"/>
      <c r="D20" s="138"/>
      <c r="E20" s="65" t="s">
        <v>50</v>
      </c>
      <c r="F20" s="66"/>
      <c r="G20" s="67"/>
      <c r="H20" s="133"/>
      <c r="I20" s="65"/>
      <c r="J20" s="68">
        <v>65</v>
      </c>
      <c r="K20" s="69">
        <v>65</v>
      </c>
      <c r="L20" s="70"/>
      <c r="M20" s="71"/>
      <c r="N20" s="89">
        <f>IF(E20="","",IF(MAXA(K20:M20)&lt;=0,0,MAXA(K20:M20)))</f>
        <v>65</v>
      </c>
      <c r="O20" s="69">
        <v>80</v>
      </c>
      <c r="P20" s="70"/>
      <c r="Q20" s="71"/>
      <c r="R20" s="89">
        <f>IF(E20="","",IF(MAXA(O20:Q20)&lt;=0,0,MAXA(O20:Q20)))</f>
        <v>80</v>
      </c>
      <c r="S20" s="72">
        <f>IF(E20="","",N20+R20)</f>
        <v>145</v>
      </c>
      <c r="T20" s="73" t="str">
        <f>+CONCATENATE(AL20," ",AM20)</f>
        <v>DPT + 16</v>
      </c>
      <c r="U20" s="73" t="str">
        <f>IF(E20=0," ",IF(E20="H",IF(G20&lt;=SENIORS_Min,VLOOKUP(J20,Minimas!$A$15:$F$29,6),IF(AND(G20&gt;=U20_Min,G20&lt;=U20_Max),VLOOKUP(J20,Minimas!$A$15:$F$29,5),IF(AND(G20&gt;=U17_Min,G20&lt;=U17_Max),VLOOKUP(J20,Minimas!$A$15:$F$29,4),IF(AND(G20&gt;=U15_Min,G20&lt;=U15_Max),VLOOKUP(J20,Minimas!$A$15:$F$29,3),VLOOKUP(J20,Minimas!$A$15:$F$29,2))))),IF(G20&lt;=SENIORS_Min,VLOOKUP(J20,Minimas!$G$15:$L$29,6),IF(AND(G20&gt;=U20_Min,G20&lt;=U20_Max),VLOOKUP(J20,Minimas!$G$15:$L$29,5),IF(AND(G20&gt;=U17_Min,G20&lt;=U17_Max),VLOOKUP(J20,Minimas!$G$15:$L$29,4),IF(AND(G20&gt;=U15_Min,G20&lt;=U15_Max),VLOOKUP(J20,Minimas!$G$15:$L$29,3),VLOOKUP(J20,Minimas!$G$15:$L$29,2)))))))</f>
        <v>SE M65</v>
      </c>
      <c r="V20" s="74">
        <f t="shared" ref="V20:V23" si="9">IF(E20=" "," ",IF(E20="H",10^(0.722762521*LOG(J20/193.609)^2)*S20,IF(E20="F",10^(0.787004341* LOG(J20/153.757)^2)*S20*1.5,"")))</f>
        <v>210.7481366860238</v>
      </c>
      <c r="Z20" s="32"/>
      <c r="AA20" s="166">
        <f>$S20-HLOOKUP($U20,Minimas!$C$3:$BO$11,2,FALSE)</f>
        <v>45</v>
      </c>
      <c r="AB20" s="166">
        <f>$S20-HLOOKUP($U20,Minimas!$C$3:$BO$11,3,FALSE)</f>
        <v>16</v>
      </c>
      <c r="AC20" s="166">
        <f>$S20-HLOOKUP($U20,Minimas!$C$3:$BO$11,4,FALSE)</f>
        <v>-12</v>
      </c>
      <c r="AD20" s="166">
        <f>$S20-HLOOKUP($U20,Minimas!$C$3:$BO$11,5,FALSE)</f>
        <v>-41</v>
      </c>
      <c r="AE20" s="166">
        <f>$S20-HLOOKUP($U20,Minimas!$C$3:$BO$11,6,FALSE)</f>
        <v>-64</v>
      </c>
      <c r="AF20" s="166">
        <f>$S20-HLOOKUP($U20,Minimas!$C$3:$BO$11,7,FALSE)</f>
        <v>-84</v>
      </c>
      <c r="AG20" s="166">
        <f>$S20-HLOOKUP($U20,Minimas!$C$3:$BO$11,8,FALSE)</f>
        <v>-132</v>
      </c>
      <c r="AH20" s="166">
        <f>$S20-HLOOKUP($U20,Minimas!$C$3:$BO$11,9,FALSE)</f>
        <v>-141</v>
      </c>
      <c r="AI20" s="166"/>
      <c r="AJ20" s="163" t="str">
        <f t="shared" si="1"/>
        <v>DPT +</v>
      </c>
      <c r="AK20" s="163"/>
      <c r="AL20" s="163" t="str">
        <f t="shared" si="2"/>
        <v>DPT +</v>
      </c>
      <c r="AM20" s="166">
        <f t="shared" si="3"/>
        <v>16</v>
      </c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</row>
    <row r="21" spans="1:123" s="5" customFormat="1" ht="34.950000000000003" customHeight="1">
      <c r="B21" s="130"/>
      <c r="C21" s="64"/>
      <c r="D21" s="138"/>
      <c r="E21" s="65" t="s">
        <v>51</v>
      </c>
      <c r="F21" s="66"/>
      <c r="G21" s="67"/>
      <c r="H21" s="134"/>
      <c r="I21" s="65"/>
      <c r="J21" s="68">
        <v>62</v>
      </c>
      <c r="K21" s="69">
        <v>70</v>
      </c>
      <c r="L21" s="70"/>
      <c r="M21" s="71"/>
      <c r="N21" s="89">
        <f>IF(E21="","",IF(MAXA(K21:M21)&lt;=0,0,MAXA(K21:M21)))</f>
        <v>70</v>
      </c>
      <c r="O21" s="69">
        <v>90</v>
      </c>
      <c r="P21" s="70"/>
      <c r="Q21" s="71"/>
      <c r="R21" s="89">
        <f>IF(E21="","",IF(MAXA(O21:Q21)&lt;=0,0,MAXA(O21:Q21)))</f>
        <v>90</v>
      </c>
      <c r="S21" s="72">
        <f>IF(E21="","",N21+R21)</f>
        <v>160</v>
      </c>
      <c r="T21" s="73" t="str">
        <f t="shared" ref="T21:T22" si="10">+CONCATENATE(AL21," ",AM21)</f>
        <v>HON + 6</v>
      </c>
      <c r="U21" s="73" t="str">
        <f>IF(E21=0," ",IF(E21="H",IF(G21&lt;=SENIORS_Min,VLOOKUP(J21,Minimas!$A$15:$F$29,6),IF(AND(G21&gt;=U20_Min,G21&lt;=U20_Max),VLOOKUP(J21,Minimas!$A$15:$F$29,5),IF(AND(G21&gt;=U17_Min,G21&lt;=U17_Max),VLOOKUP(J21,Minimas!$A$15:$F$29,4),IF(AND(G21&gt;=U15_Min,G21&lt;=U15_Max),VLOOKUP(J21,Minimas!$A$15:$F$29,3),VLOOKUP(J21,Minimas!$A$15:$F$29,2))))),IF(G21&lt;=SENIORS_Min,VLOOKUP(J21,Minimas!$G$15:$L$29,6),IF(AND(G21&gt;=U20_Min,G21&lt;=U20_Max),VLOOKUP(J21,Minimas!$G$15:$L$29,5),IF(AND(G21&gt;=U17_Min,G21&lt;=U17_Max),VLOOKUP(J21,Minimas!$G$15:$L$29,4),IF(AND(G21&gt;=U15_Min,G21&lt;=U15_Max),VLOOKUP(J21,Minimas!$G$15:$L$29,3),VLOOKUP(J21,Minimas!$G$15:$L$29,2)))))))</f>
        <v>SE F63</v>
      </c>
      <c r="V21" s="74">
        <f t="shared" si="9"/>
        <v>318.16885227878356</v>
      </c>
      <c r="Z21" s="32"/>
      <c r="AA21" s="166">
        <f>$S21-HLOOKUP($U21,Minimas!$C$3:$BO$11,2,FALSE)</f>
        <v>86</v>
      </c>
      <c r="AB21" s="166">
        <f>$S21-HLOOKUP($U21,Minimas!$C$3:$BO$11,3,FALSE)</f>
        <v>65</v>
      </c>
      <c r="AC21" s="166">
        <f>$S21-HLOOKUP($U21,Minimas!$C$3:$BO$11,4,FALSE)</f>
        <v>44</v>
      </c>
      <c r="AD21" s="166">
        <f>$S21-HLOOKUP($U21,Minimas!$C$3:$BO$11,5,FALSE)</f>
        <v>23</v>
      </c>
      <c r="AE21" s="166">
        <f>$S21-HLOOKUP($U21,Minimas!$C$3:$BO$11,6,FALSE)</f>
        <v>6</v>
      </c>
      <c r="AF21" s="166">
        <f>$S21-HLOOKUP($U21,Minimas!$C$3:$BO$11,7,FALSE)</f>
        <v>-9</v>
      </c>
      <c r="AG21" s="166">
        <f>$S21-HLOOKUP($U21,Minimas!$C$3:$BO$11,8,FALSE)</f>
        <v>-45</v>
      </c>
      <c r="AH21" s="166">
        <f>$S21-HLOOKUP($U21,Minimas!$C$3:$BO$11,9,FALSE)</f>
        <v>-51</v>
      </c>
      <c r="AI21" s="166"/>
      <c r="AJ21" s="163" t="str">
        <f t="shared" si="1"/>
        <v>HON +</v>
      </c>
      <c r="AK21" s="163"/>
      <c r="AL21" s="163" t="str">
        <f t="shared" si="2"/>
        <v>HON +</v>
      </c>
      <c r="AM21" s="166">
        <f t="shared" si="3"/>
        <v>6</v>
      </c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</row>
    <row r="22" spans="1:123" s="5" customFormat="1" ht="34.950000000000003" customHeight="1">
      <c r="B22" s="130"/>
      <c r="C22" s="64"/>
      <c r="D22" s="138"/>
      <c r="E22" s="65" t="s">
        <v>50</v>
      </c>
      <c r="F22" s="66"/>
      <c r="G22" s="67"/>
      <c r="H22" s="135">
        <f>SUM(V19:V23)</f>
        <v>1367.949121846772</v>
      </c>
      <c r="I22" s="65" t="s">
        <v>36</v>
      </c>
      <c r="J22" s="68">
        <v>82</v>
      </c>
      <c r="K22" s="69">
        <v>55</v>
      </c>
      <c r="L22" s="70"/>
      <c r="M22" s="71"/>
      <c r="N22" s="89">
        <f>IF(E22="","",IF(MAXA(K22:M22)&lt;=0,0,MAXA(K22:M22)))</f>
        <v>55</v>
      </c>
      <c r="O22" s="69">
        <v>75</v>
      </c>
      <c r="P22" s="70"/>
      <c r="Q22" s="71"/>
      <c r="R22" s="89">
        <f>IF(E22="","",IF(MAXA(O22:Q22)&lt;=0,0,MAXA(O22:Q22)))</f>
        <v>75</v>
      </c>
      <c r="S22" s="72">
        <f>IF(E22="","",N22+R22)</f>
        <v>130</v>
      </c>
      <c r="T22" s="73" t="str">
        <f t="shared" si="10"/>
        <v>DEB 7</v>
      </c>
      <c r="U22" s="73" t="str">
        <f>IF(E22=0," ",IF(E22="H",IF(G22&lt;=SENIORS_Min,VLOOKUP(J22,Minimas!$A$15:$F$29,6),IF(AND(G22&gt;=U20_Min,G22&lt;=U20_Max),VLOOKUP(J22,Minimas!$A$15:$F$29,5),IF(AND(G22&gt;=U17_Min,G22&lt;=U17_Max),VLOOKUP(J22,Minimas!$A$15:$F$29,4),IF(AND(G22&gt;=U15_Min,G22&lt;=U15_Max),VLOOKUP(J22,Minimas!$A$15:$F$29,3),VLOOKUP(J22,Minimas!$A$15:$F$29,2))))),IF(G22&lt;=SENIORS_Min,VLOOKUP(J22,Minimas!$G$15:$L$29,6),IF(AND(G22&gt;=U20_Min,G22&lt;=U20_Max),VLOOKUP(J22,Minimas!$G$15:$L$29,5),IF(AND(G22&gt;=U17_Min,G22&lt;=U17_Max),VLOOKUP(J22,Minimas!$G$15:$L$29,4),IF(AND(G22&gt;=U15_Min,G22&lt;=U15_Max),VLOOKUP(J22,Minimas!$G$15:$L$29,3),VLOOKUP(J22,Minimas!$G$15:$L$29,2)))))))</f>
        <v>SE M88</v>
      </c>
      <c r="V22" s="74">
        <f t="shared" si="9"/>
        <v>163.89315246155539</v>
      </c>
      <c r="Z22" s="32"/>
      <c r="AA22" s="166">
        <f>$S22-HLOOKUP($U22,Minimas!$C$3:$BO$11,2,FALSE)</f>
        <v>7</v>
      </c>
      <c r="AB22" s="166">
        <f>$S22-HLOOKUP($U22,Minimas!$C$3:$BO$11,3,FALSE)</f>
        <v>-28</v>
      </c>
      <c r="AC22" s="166">
        <f>$S22-HLOOKUP($U22,Minimas!$C$3:$BO$11,4,FALSE)</f>
        <v>-63</v>
      </c>
      <c r="AD22" s="166">
        <f>$S22-HLOOKUP($U22,Minimas!$C$3:$BO$11,5,FALSE)</f>
        <v>-98</v>
      </c>
      <c r="AE22" s="166">
        <f>$S22-HLOOKUP($U22,Minimas!$C$3:$BO$11,6,FALSE)</f>
        <v>-126</v>
      </c>
      <c r="AF22" s="166">
        <f>$S22-HLOOKUP($U22,Minimas!$C$3:$BO$11,7,FALSE)</f>
        <v>-150</v>
      </c>
      <c r="AG22" s="166">
        <f>$S22-HLOOKUP($U22,Minimas!$C$3:$BO$11,8,FALSE)</f>
        <v>-210</v>
      </c>
      <c r="AH22" s="166">
        <f>$S22-HLOOKUP($U22,Minimas!$C$3:$BO$11,9,FALSE)</f>
        <v>-220</v>
      </c>
      <c r="AI22" s="166"/>
      <c r="AJ22" s="163" t="str">
        <f t="shared" si="1"/>
        <v>DEB</v>
      </c>
      <c r="AK22" s="163"/>
      <c r="AL22" s="163" t="str">
        <f t="shared" si="2"/>
        <v>DEB</v>
      </c>
      <c r="AM22" s="166">
        <f t="shared" si="3"/>
        <v>7</v>
      </c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</row>
    <row r="23" spans="1:123" s="5" customFormat="1" ht="34.950000000000003" customHeight="1" thickBot="1">
      <c r="B23" s="131"/>
      <c r="C23" s="75"/>
      <c r="D23" s="139"/>
      <c r="E23" s="76" t="s">
        <v>51</v>
      </c>
      <c r="F23" s="77"/>
      <c r="G23" s="78"/>
      <c r="H23" s="136">
        <f>SUM(V19:V23)</f>
        <v>1367.949121846772</v>
      </c>
      <c r="I23" s="76" t="s">
        <v>36</v>
      </c>
      <c r="J23" s="79">
        <v>72</v>
      </c>
      <c r="K23" s="80">
        <v>70</v>
      </c>
      <c r="L23" s="81"/>
      <c r="M23" s="82"/>
      <c r="N23" s="90">
        <f>IF(E23="","",IF(MAXA(K23:M23)&lt;=0,0,MAXA(K23:M23)))</f>
        <v>70</v>
      </c>
      <c r="O23" s="80">
        <v>90</v>
      </c>
      <c r="P23" s="81"/>
      <c r="Q23" s="82"/>
      <c r="R23" s="90">
        <f>IF(E23="","",IF(MAXA(O23:Q23)&lt;=0,0,MAXA(O23:Q23)))</f>
        <v>90</v>
      </c>
      <c r="S23" s="83">
        <f>IF(E23="","",N23+R23)</f>
        <v>160</v>
      </c>
      <c r="T23" s="84" t="str">
        <f>+CONCATENATE(AL23," ",AM23)</f>
        <v>IRG + 12</v>
      </c>
      <c r="U23" s="84" t="str">
        <f>IF(E23=0," ",IF(E23="H",IF(G23&lt;=SENIORS_Min,VLOOKUP(J23,Minimas!$A$15:$F$29,6),IF(AND(G23&gt;=U20_Min,G23&lt;=U20_Max),VLOOKUP(J23,Minimas!$A$15:$F$29,5),IF(AND(G23&gt;=U17_Min,G23&lt;=U17_Max),VLOOKUP(J23,Minimas!$A$15:$F$29,4),IF(AND(G23&gt;=U15_Min,G23&lt;=U15_Max),VLOOKUP(J23,Minimas!$A$15:$F$29,3),VLOOKUP(J23,Minimas!$A$15:$F$29,2))))),IF(G23&lt;=SENIORS_Min,VLOOKUP(J23,Minimas!$G$15:$L$29,6),IF(AND(G23&gt;=U20_Min,G23&lt;=U20_Max),VLOOKUP(J23,Minimas!$G$15:$L$29,5),IF(AND(G23&gt;=U17_Min,G23&lt;=U17_Max),VLOOKUP(J23,Minimas!$G$15:$L$29,4),IF(AND(G23&gt;=U15_Min,G23&lt;=U15_Max),VLOOKUP(J23,Minimas!$G$15:$L$29,3),VLOOKUP(J23,Minimas!$G$15:$L$29,2)))))))</f>
        <v>SE F77</v>
      </c>
      <c r="V23" s="85">
        <f t="shared" si="9"/>
        <v>292.18488429186294</v>
      </c>
      <c r="Z23" s="32"/>
      <c r="AA23" s="166">
        <f>$S23-HLOOKUP($U23,Minimas!$C$3:$BO$11,2,FALSE)</f>
        <v>80</v>
      </c>
      <c r="AB23" s="166">
        <f>$S23-HLOOKUP($U23,Minimas!$C$3:$BO$11,3,FALSE)</f>
        <v>57</v>
      </c>
      <c r="AC23" s="166">
        <f>$S23-HLOOKUP($U23,Minimas!$C$3:$BO$11,4,FALSE)</f>
        <v>35</v>
      </c>
      <c r="AD23" s="166">
        <f>$S23-HLOOKUP($U23,Minimas!$C$3:$BO$11,5,FALSE)</f>
        <v>12</v>
      </c>
      <c r="AE23" s="166">
        <f>$S23-HLOOKUP($U23,Minimas!$C$3:$BO$11,6,FALSE)</f>
        <v>-6</v>
      </c>
      <c r="AF23" s="166">
        <f>$S23-HLOOKUP($U23,Minimas!$C$3:$BO$11,7,FALSE)</f>
        <v>-22</v>
      </c>
      <c r="AG23" s="166">
        <f>$S23-HLOOKUP($U23,Minimas!$C$3:$BO$11,8,FALSE)</f>
        <v>-61</v>
      </c>
      <c r="AH23" s="166">
        <f>$S23-HLOOKUP($U23,Minimas!$C$3:$BO$11,9,FALSE)</f>
        <v>-68</v>
      </c>
      <c r="AI23" s="166"/>
      <c r="AJ23" s="163" t="str">
        <f t="shared" si="1"/>
        <v>IRG +</v>
      </c>
      <c r="AK23" s="163"/>
      <c r="AL23" s="163" t="str">
        <f t="shared" si="2"/>
        <v>IRG +</v>
      </c>
      <c r="AM23" s="166">
        <f t="shared" si="3"/>
        <v>12</v>
      </c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</row>
    <row r="24" spans="1:123" s="5" customFormat="1" ht="9" customHeight="1" thickBot="1">
      <c r="B24" s="96"/>
      <c r="C24" s="16"/>
      <c r="D24" s="97"/>
      <c r="E24" s="98"/>
      <c r="F24" s="99"/>
      <c r="G24" s="100"/>
      <c r="H24" s="101"/>
      <c r="I24" s="98"/>
      <c r="J24" s="101"/>
      <c r="K24" s="102"/>
      <c r="L24" s="102"/>
      <c r="M24" s="102"/>
      <c r="N24" s="103"/>
      <c r="O24" s="102"/>
      <c r="P24" s="102"/>
      <c r="Q24" s="102"/>
      <c r="R24" s="103"/>
      <c r="S24" s="104"/>
      <c r="T24" s="105"/>
      <c r="U24" s="105"/>
      <c r="V24" s="95"/>
      <c r="Z24" s="32"/>
      <c r="AA24" s="166" t="e">
        <f>$S24-HLOOKUP($U24,Minimas!$C$3:$BO$11,2,FALSE)</f>
        <v>#N/A</v>
      </c>
      <c r="AB24" s="166" t="e">
        <f>$S24-HLOOKUP($U24,Minimas!$C$3:$BO$11,3,FALSE)</f>
        <v>#N/A</v>
      </c>
      <c r="AC24" s="166" t="e">
        <f>$S24-HLOOKUP($U24,Minimas!$C$3:$BO$11,4,FALSE)</f>
        <v>#N/A</v>
      </c>
      <c r="AD24" s="166" t="e">
        <f>$S24-HLOOKUP($U24,Minimas!$C$3:$BO$11,5,FALSE)</f>
        <v>#N/A</v>
      </c>
      <c r="AE24" s="166" t="e">
        <f>$S24-HLOOKUP($U24,Minimas!$C$3:$BO$11,6,FALSE)</f>
        <v>#N/A</v>
      </c>
      <c r="AF24" s="166" t="e">
        <f>$S24-HLOOKUP($U24,Minimas!$C$3:$BO$11,7,FALSE)</f>
        <v>#N/A</v>
      </c>
      <c r="AG24" s="166" t="e">
        <f>$S24-HLOOKUP($U24,Minimas!$C$3:$BO$11,8,FALSE)</f>
        <v>#N/A</v>
      </c>
      <c r="AH24" s="166" t="e">
        <f>$S24-HLOOKUP($U24,Minimas!$C$3:$BO$11,9,FALSE)</f>
        <v>#N/A</v>
      </c>
      <c r="AI24" s="166"/>
      <c r="AJ24" s="163" t="str">
        <f t="shared" si="1"/>
        <v xml:space="preserve"> </v>
      </c>
      <c r="AK24" s="163"/>
      <c r="AL24" s="163" t="str">
        <f t="shared" si="2"/>
        <v xml:space="preserve"> </v>
      </c>
      <c r="AM24" s="166" t="str">
        <f t="shared" si="3"/>
        <v xml:space="preserve"> </v>
      </c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</row>
    <row r="25" spans="1:123" s="5" customFormat="1" ht="34.950000000000003" customHeight="1">
      <c r="B25" s="128" t="s">
        <v>53</v>
      </c>
      <c r="C25" s="53"/>
      <c r="D25" s="137">
        <f>IF(H28="","",RANK(H28,$Y$37:$Y$44,0))</f>
        <v>1</v>
      </c>
      <c r="E25" s="54" t="s">
        <v>51</v>
      </c>
      <c r="F25" s="55"/>
      <c r="G25" s="56"/>
      <c r="H25" s="132"/>
      <c r="I25" s="54"/>
      <c r="J25" s="57">
        <v>63</v>
      </c>
      <c r="K25" s="58">
        <v>90</v>
      </c>
      <c r="L25" s="59"/>
      <c r="M25" s="60"/>
      <c r="N25" s="88">
        <f>IF(E25="","",IF(MAXA(K25:M25)&lt;=0,0,MAXA(K25:M25)))</f>
        <v>90</v>
      </c>
      <c r="O25" s="58">
        <v>115</v>
      </c>
      <c r="P25" s="59"/>
      <c r="Q25" s="60"/>
      <c r="R25" s="88">
        <f>IF(E25="","",IF(MAXA(O25:Q25)&lt;=0,0,MAXA(O25:Q25)))</f>
        <v>115</v>
      </c>
      <c r="S25" s="61">
        <f>IF(E25="","",N25+R25)</f>
        <v>205</v>
      </c>
      <c r="T25" s="62" t="str">
        <f>+CONCATENATE(AL25," ",AM25)</f>
        <v>EUR + 0</v>
      </c>
      <c r="U25" s="62" t="str">
        <f>IF(E25=0," ",IF(E25="H",IF(G25&lt;=SENIORS_Min,VLOOKUP(J25,Minimas!$A$15:$F$29,6),IF(AND(G25&gt;=U20_Min,G25&lt;=U20_Max),VLOOKUP(J25,Minimas!$A$15:$F$29,5),IF(AND(G25&gt;=U17_Min,G25&lt;=U17_Max),VLOOKUP(J25,Minimas!$A$15:$F$29,4),IF(AND(G25&gt;=U15_Min,G25&lt;=U15_Max),VLOOKUP(J25,Minimas!$A$15:$F$29,3),VLOOKUP(J25,Minimas!$A$15:$F$29,2))))),IF(G25&lt;=SENIORS_Min,VLOOKUP(J25,Minimas!$G$15:$L$29,6),IF(AND(G25&gt;=U20_Min,G25&lt;=U20_Max),VLOOKUP(J25,Minimas!$G$15:$L$29,5),IF(AND(G25&gt;=U17_Min,G25&lt;=U17_Max),VLOOKUP(J25,Minimas!$G$15:$L$29,4),IF(AND(G25&gt;=U15_Min,G25&lt;=U15_Max),VLOOKUP(J25,Minimas!$G$15:$L$29,3),VLOOKUP(J25,Minimas!$G$15:$L$29,2)))))))</f>
        <v>SE F63</v>
      </c>
      <c r="V25" s="63">
        <f>IF(E25=" "," ",IF(E25="H",10^(0.722762521*LOG(J25/193.609)^2)*S25,IF(E25="F",10^(0.787004341* LOG(J25/153.757)^2)*S25*1.5,"")))</f>
        <v>403.65960693330044</v>
      </c>
      <c r="Z25" s="32"/>
      <c r="AA25" s="166">
        <f>$S25-HLOOKUP($U25,Minimas!$C$3:$BO$11,2,FALSE)</f>
        <v>131</v>
      </c>
      <c r="AB25" s="166">
        <f>$S25-HLOOKUP($U25,Minimas!$C$3:$BO$11,3,FALSE)</f>
        <v>110</v>
      </c>
      <c r="AC25" s="166">
        <f>$S25-HLOOKUP($U25,Minimas!$C$3:$BO$11,4,FALSE)</f>
        <v>89</v>
      </c>
      <c r="AD25" s="166">
        <f>$S25-HLOOKUP($U25,Minimas!$C$3:$BO$11,5,FALSE)</f>
        <v>68</v>
      </c>
      <c r="AE25" s="166">
        <f>$S25-HLOOKUP($U25,Minimas!$C$3:$BO$11,6,FALSE)</f>
        <v>51</v>
      </c>
      <c r="AF25" s="166">
        <f>$S25-HLOOKUP($U25,Minimas!$C$3:$BO$11,7,FALSE)</f>
        <v>36</v>
      </c>
      <c r="AG25" s="166">
        <f>$S25-HLOOKUP($U25,Minimas!$C$3:$BO$11,8,FALSE)</f>
        <v>0</v>
      </c>
      <c r="AH25" s="166">
        <f>$S25-HLOOKUP($U25,Minimas!$C$3:$BO$11,9,FALSE)</f>
        <v>-6</v>
      </c>
      <c r="AI25" s="166"/>
      <c r="AJ25" s="163" t="str">
        <f t="shared" si="1"/>
        <v>EUR +</v>
      </c>
      <c r="AK25" s="163"/>
      <c r="AL25" s="163" t="str">
        <f t="shared" si="2"/>
        <v>EUR +</v>
      </c>
      <c r="AM25" s="166">
        <f t="shared" si="3"/>
        <v>0</v>
      </c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</row>
    <row r="26" spans="1:123" s="5" customFormat="1" ht="34.950000000000003" customHeight="1">
      <c r="B26" s="129"/>
      <c r="C26" s="64"/>
      <c r="D26" s="138"/>
      <c r="E26" s="65" t="s">
        <v>50</v>
      </c>
      <c r="F26" s="66"/>
      <c r="G26" s="67"/>
      <c r="H26" s="133"/>
      <c r="I26" s="65"/>
      <c r="J26" s="68">
        <v>65</v>
      </c>
      <c r="K26" s="69">
        <v>65</v>
      </c>
      <c r="L26" s="70"/>
      <c r="M26" s="71"/>
      <c r="N26" s="89">
        <f>IF(E26="","",IF(MAXA(K26:M26)&lt;=0,0,MAXA(K26:M26)))</f>
        <v>65</v>
      </c>
      <c r="O26" s="69">
        <v>80</v>
      </c>
      <c r="P26" s="70"/>
      <c r="Q26" s="71"/>
      <c r="R26" s="89">
        <f>IF(E26="","",IF(MAXA(O26:Q26)&lt;=0,0,MAXA(O26:Q26)))</f>
        <v>80</v>
      </c>
      <c r="S26" s="72">
        <f>IF(E26="","",N26+R26)</f>
        <v>145</v>
      </c>
      <c r="T26" s="73" t="str">
        <f>+CONCATENATE(AL26," ",AM26)</f>
        <v>DPT + 16</v>
      </c>
      <c r="U26" s="73" t="str">
        <f>IF(E26=0," ",IF(E26="H",IF(G26&lt;=SENIORS_Min,VLOOKUP(J26,Minimas!$A$15:$F$29,6),IF(AND(G26&gt;=U20_Min,G26&lt;=U20_Max),VLOOKUP(J26,Minimas!$A$15:$F$29,5),IF(AND(G26&gt;=U17_Min,G26&lt;=U17_Max),VLOOKUP(J26,Minimas!$A$15:$F$29,4),IF(AND(G26&gt;=U15_Min,G26&lt;=U15_Max),VLOOKUP(J26,Minimas!$A$15:$F$29,3),VLOOKUP(J26,Minimas!$A$15:$F$29,2))))),IF(G26&lt;=SENIORS_Min,VLOOKUP(J26,Minimas!$G$15:$L$29,6),IF(AND(G26&gt;=U20_Min,G26&lt;=U20_Max),VLOOKUP(J26,Minimas!$G$15:$L$29,5),IF(AND(G26&gt;=U17_Min,G26&lt;=U17_Max),VLOOKUP(J26,Minimas!$G$15:$L$29,4),IF(AND(G26&gt;=U15_Min,G26&lt;=U15_Max),VLOOKUP(J26,Minimas!$G$15:$L$29,3),VLOOKUP(J26,Minimas!$G$15:$L$29,2)))))))</f>
        <v>SE M65</v>
      </c>
      <c r="V26" s="74">
        <f t="shared" ref="V26:V29" si="11">IF(E26=" "," ",IF(E26="H",10^(0.722762521*LOG(J26/193.609)^2)*S26,IF(E26="F",10^(0.787004341* LOG(J26/153.757)^2)*S26*1.5,"")))</f>
        <v>210.7481366860238</v>
      </c>
      <c r="Z26" s="32"/>
      <c r="AA26" s="166">
        <f>$S26-HLOOKUP($U26,Minimas!$C$3:$BO$11,2,FALSE)</f>
        <v>45</v>
      </c>
      <c r="AB26" s="166">
        <f>$S26-HLOOKUP($U26,Minimas!$C$3:$BO$11,3,FALSE)</f>
        <v>16</v>
      </c>
      <c r="AC26" s="166">
        <f>$S26-HLOOKUP($U26,Minimas!$C$3:$BO$11,4,FALSE)</f>
        <v>-12</v>
      </c>
      <c r="AD26" s="166">
        <f>$S26-HLOOKUP($U26,Minimas!$C$3:$BO$11,5,FALSE)</f>
        <v>-41</v>
      </c>
      <c r="AE26" s="166">
        <f>$S26-HLOOKUP($U26,Minimas!$C$3:$BO$11,6,FALSE)</f>
        <v>-64</v>
      </c>
      <c r="AF26" s="166">
        <f>$S26-HLOOKUP($U26,Minimas!$C$3:$BO$11,7,FALSE)</f>
        <v>-84</v>
      </c>
      <c r="AG26" s="166">
        <f>$S26-HLOOKUP($U26,Minimas!$C$3:$BO$11,8,FALSE)</f>
        <v>-132</v>
      </c>
      <c r="AH26" s="166">
        <f>$S26-HLOOKUP($U26,Minimas!$C$3:$BO$11,9,FALSE)</f>
        <v>-141</v>
      </c>
      <c r="AI26" s="166"/>
      <c r="AJ26" s="163" t="str">
        <f t="shared" si="1"/>
        <v>DPT +</v>
      </c>
      <c r="AK26" s="163"/>
      <c r="AL26" s="163" t="str">
        <f t="shared" si="2"/>
        <v>DPT +</v>
      </c>
      <c r="AM26" s="166">
        <f t="shared" si="3"/>
        <v>16</v>
      </c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</row>
    <row r="27" spans="1:123" s="5" customFormat="1" ht="34.950000000000003" customHeight="1">
      <c r="B27" s="130"/>
      <c r="C27" s="64"/>
      <c r="D27" s="138"/>
      <c r="E27" s="65" t="s">
        <v>50</v>
      </c>
      <c r="F27" s="66"/>
      <c r="G27" s="67"/>
      <c r="H27" s="134"/>
      <c r="I27" s="65"/>
      <c r="J27" s="68">
        <v>62</v>
      </c>
      <c r="K27" s="69">
        <v>70</v>
      </c>
      <c r="L27" s="70"/>
      <c r="M27" s="71"/>
      <c r="N27" s="89">
        <f>IF(E27="","",IF(MAXA(K27:M27)&lt;=0,0,MAXA(K27:M27)))</f>
        <v>70</v>
      </c>
      <c r="O27" s="69">
        <v>90</v>
      </c>
      <c r="P27" s="70"/>
      <c r="Q27" s="71"/>
      <c r="R27" s="89">
        <f>IF(E27="","",IF(MAXA(O27:Q27)&lt;=0,0,MAXA(O27:Q27)))</f>
        <v>90</v>
      </c>
      <c r="S27" s="72">
        <f>IF(E27="","",N27+R27)</f>
        <v>160</v>
      </c>
      <c r="T27" s="73" t="str">
        <f t="shared" ref="T27:T28" si="12">+CONCATENATE(AL27," ",AM27)</f>
        <v>REG + 3</v>
      </c>
      <c r="U27" s="73" t="str">
        <f>IF(E27=0," ",IF(E27="H",IF(G27&lt;=SENIORS_Min,VLOOKUP(J27,Minimas!$A$15:$F$29,6),IF(AND(G27&gt;=U20_Min,G27&lt;=U20_Max),VLOOKUP(J27,Minimas!$A$15:$F$29,5),IF(AND(G27&gt;=U17_Min,G27&lt;=U17_Max),VLOOKUP(J27,Minimas!$A$15:$F$29,4),IF(AND(G27&gt;=U15_Min,G27&lt;=U15_Max),VLOOKUP(J27,Minimas!$A$15:$F$29,3),VLOOKUP(J27,Minimas!$A$15:$F$29,2))))),IF(G27&lt;=SENIORS_Min,VLOOKUP(J27,Minimas!$G$15:$L$29,6),IF(AND(G27&gt;=U20_Min,G27&lt;=U20_Max),VLOOKUP(J27,Minimas!$G$15:$L$29,5),IF(AND(G27&gt;=U17_Min,G27&lt;=U17_Max),VLOOKUP(J27,Minimas!$G$15:$L$29,4),IF(AND(G27&gt;=U15_Min,G27&lt;=U15_Max),VLOOKUP(J27,Minimas!$G$15:$L$29,3),VLOOKUP(J27,Minimas!$G$15:$L$29,2)))))))</f>
        <v>SE M65</v>
      </c>
      <c r="V27" s="74">
        <f t="shared" si="11"/>
        <v>240.37067413808202</v>
      </c>
      <c r="Z27" s="32"/>
      <c r="AA27" s="166">
        <f>$S27-HLOOKUP($U27,Minimas!$C$3:$BO$11,2,FALSE)</f>
        <v>60</v>
      </c>
      <c r="AB27" s="166">
        <f>$S27-HLOOKUP($U27,Minimas!$C$3:$BO$11,3,FALSE)</f>
        <v>31</v>
      </c>
      <c r="AC27" s="166">
        <f>$S27-HLOOKUP($U27,Minimas!$C$3:$BO$11,4,FALSE)</f>
        <v>3</v>
      </c>
      <c r="AD27" s="166">
        <f>$S27-HLOOKUP($U27,Minimas!$C$3:$BO$11,5,FALSE)</f>
        <v>-26</v>
      </c>
      <c r="AE27" s="166">
        <f>$S27-HLOOKUP($U27,Minimas!$C$3:$BO$11,6,FALSE)</f>
        <v>-49</v>
      </c>
      <c r="AF27" s="166">
        <f>$S27-HLOOKUP($U27,Minimas!$C$3:$BO$11,7,FALSE)</f>
        <v>-69</v>
      </c>
      <c r="AG27" s="166">
        <f>$S27-HLOOKUP($U27,Minimas!$C$3:$BO$11,8,FALSE)</f>
        <v>-117</v>
      </c>
      <c r="AH27" s="166">
        <f>$S27-HLOOKUP($U27,Minimas!$C$3:$BO$11,9,FALSE)</f>
        <v>-126</v>
      </c>
      <c r="AI27" s="166"/>
      <c r="AJ27" s="163" t="str">
        <f t="shared" si="1"/>
        <v>REG +</v>
      </c>
      <c r="AK27" s="163"/>
      <c r="AL27" s="163" t="str">
        <f t="shared" si="2"/>
        <v>REG +</v>
      </c>
      <c r="AM27" s="166">
        <f t="shared" si="3"/>
        <v>3</v>
      </c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</row>
    <row r="28" spans="1:123" s="5" customFormat="1" ht="34.950000000000003" customHeight="1">
      <c r="B28" s="130"/>
      <c r="C28" s="64"/>
      <c r="D28" s="138"/>
      <c r="E28" s="65" t="s">
        <v>51</v>
      </c>
      <c r="F28" s="66"/>
      <c r="G28" s="67"/>
      <c r="H28" s="135">
        <f>SUM(V25:V29)</f>
        <v>1370.1654147688762</v>
      </c>
      <c r="I28" s="65" t="s">
        <v>36</v>
      </c>
      <c r="J28" s="68">
        <v>82</v>
      </c>
      <c r="K28" s="69">
        <v>55</v>
      </c>
      <c r="L28" s="70"/>
      <c r="M28" s="71"/>
      <c r="N28" s="89">
        <f>IF(E28="","",IF(MAXA(K28:M28)&lt;=0,0,MAXA(K28:M28)))</f>
        <v>55</v>
      </c>
      <c r="O28" s="69">
        <v>75</v>
      </c>
      <c r="P28" s="70"/>
      <c r="Q28" s="71"/>
      <c r="R28" s="89">
        <f>IF(E28="","",IF(MAXA(O28:Q28)&lt;=0,0,MAXA(O28:Q28)))</f>
        <v>75</v>
      </c>
      <c r="S28" s="72">
        <f>IF(E28="","",N28+R28)</f>
        <v>130</v>
      </c>
      <c r="T28" s="73" t="str">
        <f t="shared" si="12"/>
        <v>REG + 1</v>
      </c>
      <c r="U28" s="73" t="str">
        <f>IF(E28=0," ",IF(E28="H",IF(G28&lt;=SENIORS_Min,VLOOKUP(J28,Minimas!$A$15:$F$29,6),IF(AND(G28&gt;=U20_Min,G28&lt;=U20_Max),VLOOKUP(J28,Minimas!$A$15:$F$29,5),IF(AND(G28&gt;=U17_Min,G28&lt;=U17_Max),VLOOKUP(J28,Minimas!$A$15:$F$29,4),IF(AND(G28&gt;=U15_Min,G28&lt;=U15_Max),VLOOKUP(J28,Minimas!$A$15:$F$29,3),VLOOKUP(J28,Minimas!$A$15:$F$29,2))))),IF(G28&lt;=SENIORS_Min,VLOOKUP(J28,Minimas!$G$15:$L$29,6),IF(AND(G28&gt;=U20_Min,G28&lt;=U20_Max),VLOOKUP(J28,Minimas!$G$15:$L$29,5),IF(AND(G28&gt;=U17_Min,G28&lt;=U17_Max),VLOOKUP(J28,Minimas!$G$15:$L$29,4),IF(AND(G28&gt;=U15_Min,G28&lt;=U15_Max),VLOOKUP(J28,Minimas!$G$15:$L$29,3),VLOOKUP(J28,Minimas!$G$15:$L$29,2)))))))</f>
        <v>SE F86</v>
      </c>
      <c r="V28" s="74">
        <f t="shared" si="11"/>
        <v>223.20211271960696</v>
      </c>
      <c r="Z28" s="32"/>
      <c r="AA28" s="166">
        <f>$S28-HLOOKUP($U28,Minimas!$C$3:$BO$11,2,FALSE)</f>
        <v>48</v>
      </c>
      <c r="AB28" s="166">
        <f>$S28-HLOOKUP($U28,Minimas!$C$3:$BO$11,3,FALSE)</f>
        <v>24</v>
      </c>
      <c r="AC28" s="166">
        <f>$S28-HLOOKUP($U28,Minimas!$C$3:$BO$11,4,FALSE)</f>
        <v>1</v>
      </c>
      <c r="AD28" s="166">
        <f>$S28-HLOOKUP($U28,Minimas!$C$3:$BO$11,5,FALSE)</f>
        <v>-23</v>
      </c>
      <c r="AE28" s="166">
        <f>$S28-HLOOKUP($U28,Minimas!$C$3:$BO$11,6,FALSE)</f>
        <v>-42</v>
      </c>
      <c r="AF28" s="166">
        <f>$S28-HLOOKUP($U28,Minimas!$C$3:$BO$11,7,FALSE)</f>
        <v>-58</v>
      </c>
      <c r="AG28" s="166">
        <f>$S28-HLOOKUP($U28,Minimas!$C$3:$BO$11,8,FALSE)</f>
        <v>-98</v>
      </c>
      <c r="AH28" s="166">
        <f>$S28-HLOOKUP($U28,Minimas!$C$3:$BO$11,9,FALSE)</f>
        <v>-105</v>
      </c>
      <c r="AI28" s="166"/>
      <c r="AJ28" s="163" t="str">
        <f t="shared" si="1"/>
        <v>REG +</v>
      </c>
      <c r="AK28" s="163"/>
      <c r="AL28" s="163" t="str">
        <f t="shared" si="2"/>
        <v>REG +</v>
      </c>
      <c r="AM28" s="166">
        <f t="shared" si="3"/>
        <v>1</v>
      </c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</row>
    <row r="29" spans="1:123" s="5" customFormat="1" ht="34.950000000000003" customHeight="1" thickBot="1">
      <c r="B29" s="131"/>
      <c r="C29" s="75"/>
      <c r="D29" s="139"/>
      <c r="E29" s="76" t="s">
        <v>51</v>
      </c>
      <c r="F29" s="77"/>
      <c r="G29" s="78"/>
      <c r="H29" s="136">
        <f>SUM(V25:V29)</f>
        <v>1370.1654147688762</v>
      </c>
      <c r="I29" s="76" t="s">
        <v>36</v>
      </c>
      <c r="J29" s="79">
        <v>72</v>
      </c>
      <c r="K29" s="80">
        <v>70</v>
      </c>
      <c r="L29" s="81"/>
      <c r="M29" s="82"/>
      <c r="N29" s="90">
        <f>IF(E29="","",IF(MAXA(K29:M29)&lt;=0,0,MAXA(K29:M29)))</f>
        <v>70</v>
      </c>
      <c r="O29" s="80">
        <v>90</v>
      </c>
      <c r="P29" s="81"/>
      <c r="Q29" s="82"/>
      <c r="R29" s="90">
        <f>IF(E29="","",IF(MAXA(O29:Q29)&lt;=0,0,MAXA(O29:Q29)))</f>
        <v>90</v>
      </c>
      <c r="S29" s="83">
        <f>IF(E29="","",N29+R29)</f>
        <v>160</v>
      </c>
      <c r="T29" s="84" t="str">
        <f>+CONCATENATE(AL29," ",AM29)</f>
        <v>IRG + 12</v>
      </c>
      <c r="U29" s="84" t="str">
        <f>IF(E29=0," ",IF(E29="H",IF(G29&lt;=SENIORS_Min,VLOOKUP(J29,Minimas!$A$15:$F$29,6),IF(AND(G29&gt;=U20_Min,G29&lt;=U20_Max),VLOOKUP(J29,Minimas!$A$15:$F$29,5),IF(AND(G29&gt;=U17_Min,G29&lt;=U17_Max),VLOOKUP(J29,Minimas!$A$15:$F$29,4),IF(AND(G29&gt;=U15_Min,G29&lt;=U15_Max),VLOOKUP(J29,Minimas!$A$15:$F$29,3),VLOOKUP(J29,Minimas!$A$15:$F$29,2))))),IF(G29&lt;=SENIORS_Min,VLOOKUP(J29,Minimas!$G$15:$L$29,6),IF(AND(G29&gt;=U20_Min,G29&lt;=U20_Max),VLOOKUP(J29,Minimas!$G$15:$L$29,5),IF(AND(G29&gt;=U17_Min,G29&lt;=U17_Max),VLOOKUP(J29,Minimas!$G$15:$L$29,4),IF(AND(G29&gt;=U15_Min,G29&lt;=U15_Max),VLOOKUP(J29,Minimas!$G$15:$L$29,3),VLOOKUP(J29,Minimas!$G$15:$L$29,2)))))))</f>
        <v>SE F77</v>
      </c>
      <c r="V29" s="95">
        <f t="shared" si="11"/>
        <v>292.18488429186294</v>
      </c>
      <c r="Z29" s="32"/>
      <c r="AA29" s="166">
        <f>$S29-HLOOKUP($U29,Minimas!$C$3:$BO$11,2,FALSE)</f>
        <v>80</v>
      </c>
      <c r="AB29" s="166">
        <f>$S29-HLOOKUP($U29,Minimas!$C$3:$BO$11,3,FALSE)</f>
        <v>57</v>
      </c>
      <c r="AC29" s="166">
        <f>$S29-HLOOKUP($U29,Minimas!$C$3:$BO$11,4,FALSE)</f>
        <v>35</v>
      </c>
      <c r="AD29" s="166">
        <f>$S29-HLOOKUP($U29,Minimas!$C$3:$BO$11,5,FALSE)</f>
        <v>12</v>
      </c>
      <c r="AE29" s="166">
        <f>$S29-HLOOKUP($U29,Minimas!$C$3:$BO$11,6,FALSE)</f>
        <v>-6</v>
      </c>
      <c r="AF29" s="166">
        <f>$S29-HLOOKUP($U29,Minimas!$C$3:$BO$11,7,FALSE)</f>
        <v>-22</v>
      </c>
      <c r="AG29" s="166">
        <f>$S29-HLOOKUP($U29,Minimas!$C$3:$BO$11,8,FALSE)</f>
        <v>-61</v>
      </c>
      <c r="AH29" s="166">
        <f>$S29-HLOOKUP($U29,Minimas!$C$3:$BO$11,9,FALSE)</f>
        <v>-68</v>
      </c>
      <c r="AI29" s="166"/>
      <c r="AJ29" s="163" t="str">
        <f t="shared" si="1"/>
        <v>IRG +</v>
      </c>
      <c r="AK29" s="163"/>
      <c r="AL29" s="163" t="str">
        <f t="shared" si="2"/>
        <v>IRG +</v>
      </c>
      <c r="AM29" s="166">
        <f t="shared" si="3"/>
        <v>12</v>
      </c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</row>
    <row r="30" spans="1:123" s="8" customFormat="1" ht="5.0999999999999996" customHeight="1" thickBot="1">
      <c r="A30" s="7"/>
      <c r="B30" s="39"/>
      <c r="C30" s="40"/>
      <c r="D30" s="41"/>
      <c r="E30" s="42"/>
      <c r="F30" s="50"/>
      <c r="G30" s="43"/>
      <c r="H30" s="51"/>
      <c r="I30" s="45"/>
      <c r="J30" s="46"/>
      <c r="K30" s="47"/>
      <c r="L30" s="47"/>
      <c r="M30" s="47"/>
      <c r="N30" s="48"/>
      <c r="O30" s="47"/>
      <c r="P30" s="47"/>
      <c r="Q30" s="47"/>
      <c r="R30" s="48"/>
      <c r="S30" s="48"/>
      <c r="T30" s="49"/>
      <c r="U30" s="49"/>
      <c r="V30" s="63"/>
      <c r="W30" s="6"/>
      <c r="X30" s="6"/>
      <c r="Y30" s="6"/>
      <c r="Z30" s="30"/>
      <c r="AA30" s="166" t="e">
        <f>$S30-HLOOKUP($U30,Minimas!$C$3:$BO$11,2,FALSE)</f>
        <v>#N/A</v>
      </c>
      <c r="AB30" s="166" t="e">
        <f>$S30-HLOOKUP($U30,Minimas!$C$3:$BO$11,3,FALSE)</f>
        <v>#N/A</v>
      </c>
      <c r="AC30" s="166" t="e">
        <f>$S30-HLOOKUP($U30,Minimas!$C$3:$BO$11,4,FALSE)</f>
        <v>#N/A</v>
      </c>
      <c r="AD30" s="166" t="e">
        <f>$S30-HLOOKUP($U30,Minimas!$C$3:$BO$11,5,FALSE)</f>
        <v>#N/A</v>
      </c>
      <c r="AE30" s="166" t="e">
        <f>$S30-HLOOKUP($U30,Minimas!$C$3:$BO$11,6,FALSE)</f>
        <v>#N/A</v>
      </c>
      <c r="AF30" s="166" t="e">
        <f>$S30-HLOOKUP($U30,Minimas!$C$3:$BO$11,7,FALSE)</f>
        <v>#N/A</v>
      </c>
      <c r="AG30" s="166" t="e">
        <f>$S30-HLOOKUP($U30,Minimas!$C$3:$BO$11,8,FALSE)</f>
        <v>#N/A</v>
      </c>
      <c r="AH30" s="166" t="e">
        <f>$S30-HLOOKUP($U30,Minimas!$C$3:$BO$11,9,FALSE)</f>
        <v>#N/A</v>
      </c>
      <c r="AI30" s="166"/>
      <c r="AJ30" s="163" t="str">
        <f t="shared" si="1"/>
        <v xml:space="preserve"> </v>
      </c>
      <c r="AK30" s="163"/>
      <c r="AL30" s="163" t="str">
        <f t="shared" si="2"/>
        <v xml:space="preserve"> </v>
      </c>
      <c r="AM30" s="166" t="str">
        <f t="shared" si="3"/>
        <v xml:space="preserve"> </v>
      </c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</row>
    <row r="31" spans="1:123" s="5" customFormat="1" ht="34.950000000000003" customHeight="1">
      <c r="B31" s="128" t="s">
        <v>53</v>
      </c>
      <c r="C31" s="53"/>
      <c r="D31" s="126">
        <f>IF(H34="","",RANK(H34,$Y$37:$Y$44,0))</f>
        <v>5</v>
      </c>
      <c r="E31" s="54" t="s">
        <v>51</v>
      </c>
      <c r="F31" s="55"/>
      <c r="G31" s="56"/>
      <c r="H31" s="132"/>
      <c r="I31" s="54"/>
      <c r="J31" s="57">
        <v>69</v>
      </c>
      <c r="K31" s="58">
        <v>90</v>
      </c>
      <c r="L31" s="59"/>
      <c r="M31" s="60"/>
      <c r="N31" s="88">
        <f>IF(E31="","",IF(MAXA(K31:M31)&lt;=0,0,MAXA(K31:M31)))</f>
        <v>90</v>
      </c>
      <c r="O31" s="58">
        <v>115</v>
      </c>
      <c r="P31" s="59"/>
      <c r="Q31" s="60"/>
      <c r="R31" s="88">
        <f>IF(E31="","",IF(MAXA(O31:Q31)&lt;=0,0,MAXA(O31:Q31)))</f>
        <v>115</v>
      </c>
      <c r="S31" s="61">
        <f>IF(E31="","",N31+R31)</f>
        <v>205</v>
      </c>
      <c r="T31" s="62" t="str">
        <f>+CONCATENATE(AL31," ",AM31)</f>
        <v>NAT + 29</v>
      </c>
      <c r="U31" s="62" t="str">
        <f>IF(E31=0," ",IF(E31="H",IF(G31&lt;=SENIORS_Min,VLOOKUP(J31,Minimas!$A$15:$F$29,6),IF(AND(G31&gt;=U20_Min,G31&lt;=U20_Max),VLOOKUP(J31,Minimas!$A$15:$F$29,5),IF(AND(G31&gt;=U17_Min,G31&lt;=U17_Max),VLOOKUP(J31,Minimas!$A$15:$F$29,4),IF(AND(G31&gt;=U15_Min,G31&lt;=U15_Max),VLOOKUP(J31,Minimas!$A$15:$F$29,3),VLOOKUP(J31,Minimas!$A$15:$F$29,2))))),IF(G31&lt;=SENIORS_Min,VLOOKUP(J31,Minimas!$G$15:$L$29,6),IF(AND(G31&gt;=U20_Min,G31&lt;=U20_Max),VLOOKUP(J31,Minimas!$G$15:$L$29,5),IF(AND(G31&gt;=U17_Min,G31&lt;=U17_Max),VLOOKUP(J31,Minimas!$G$15:$L$29,4),IF(AND(G31&gt;=U15_Min,G31&lt;=U15_Max),VLOOKUP(J31,Minimas!$G$15:$L$29,3),VLOOKUP(J31,Minimas!$G$15:$L$29,2)))))))</f>
        <v>SE F69</v>
      </c>
      <c r="V31" s="63">
        <f>IF(E31=" "," ",IF(E31="H",10^(0.722762521*LOG(J31/193.609)^2)*S31,IF(E31="F",10^(0.787004341* LOG(J31/153.757)^2)*S31*1.5,"")))</f>
        <v>382.9540961285461</v>
      </c>
      <c r="Z31" s="32"/>
      <c r="AA31" s="166">
        <f>$S31-HLOOKUP($U31,Minimas!$C$3:$BO$11,2,FALSE)</f>
        <v>128</v>
      </c>
      <c r="AB31" s="166">
        <f>$S31-HLOOKUP($U31,Minimas!$C$3:$BO$11,3,FALSE)</f>
        <v>106</v>
      </c>
      <c r="AC31" s="166">
        <f>$S31-HLOOKUP($U31,Minimas!$C$3:$BO$11,4,FALSE)</f>
        <v>84</v>
      </c>
      <c r="AD31" s="166">
        <f>$S31-HLOOKUP($U31,Minimas!$C$3:$BO$11,5,FALSE)</f>
        <v>62</v>
      </c>
      <c r="AE31" s="166">
        <f>$S31-HLOOKUP($U31,Minimas!$C$3:$BO$11,6,FALSE)</f>
        <v>44</v>
      </c>
      <c r="AF31" s="166">
        <f>$S31-HLOOKUP($U31,Minimas!$C$3:$BO$11,7,FALSE)</f>
        <v>29</v>
      </c>
      <c r="AG31" s="166">
        <f>$S31-HLOOKUP($U31,Minimas!$C$3:$BO$11,8,FALSE)</f>
        <v>-8</v>
      </c>
      <c r="AH31" s="166">
        <f>$S31-HLOOKUP($U31,Minimas!$C$3:$BO$11,9,FALSE)</f>
        <v>-15</v>
      </c>
      <c r="AI31" s="166"/>
      <c r="AJ31" s="163" t="str">
        <f t="shared" si="1"/>
        <v>NAT +</v>
      </c>
      <c r="AK31" s="163"/>
      <c r="AL31" s="163" t="str">
        <f t="shared" si="2"/>
        <v>NAT +</v>
      </c>
      <c r="AM31" s="166">
        <f t="shared" si="3"/>
        <v>29</v>
      </c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</row>
    <row r="32" spans="1:123" s="5" customFormat="1" ht="34.950000000000003" customHeight="1">
      <c r="B32" s="129"/>
      <c r="C32" s="64"/>
      <c r="D32" s="126"/>
      <c r="E32" s="65" t="s">
        <v>50</v>
      </c>
      <c r="F32" s="66"/>
      <c r="G32" s="67"/>
      <c r="H32" s="133"/>
      <c r="I32" s="65"/>
      <c r="J32" s="68">
        <v>65</v>
      </c>
      <c r="K32" s="69">
        <v>65</v>
      </c>
      <c r="L32" s="70"/>
      <c r="M32" s="71"/>
      <c r="N32" s="89">
        <f>IF(E32="","",IF(MAXA(K32:M32)&lt;=0,0,MAXA(K32:M32)))</f>
        <v>65</v>
      </c>
      <c r="O32" s="69">
        <v>80</v>
      </c>
      <c r="P32" s="70"/>
      <c r="Q32" s="71"/>
      <c r="R32" s="89">
        <f>IF(E32="","",IF(MAXA(O32:Q32)&lt;=0,0,MAXA(O32:Q32)))</f>
        <v>80</v>
      </c>
      <c r="S32" s="72">
        <f>IF(E32="","",N32+R32)</f>
        <v>145</v>
      </c>
      <c r="T32" s="73" t="str">
        <f>+CONCATENATE(AL32," ",AM32)</f>
        <v>DPT + 16</v>
      </c>
      <c r="U32" s="73" t="str">
        <f>IF(E32=0," ",IF(E32="H",IF(G32&lt;=SENIORS_Min,VLOOKUP(J32,Minimas!$A$15:$F$29,6),IF(AND(G32&gt;=U20_Min,G32&lt;=U20_Max),VLOOKUP(J32,Minimas!$A$15:$F$29,5),IF(AND(G32&gt;=U17_Min,G32&lt;=U17_Max),VLOOKUP(J32,Minimas!$A$15:$F$29,4),IF(AND(G32&gt;=U15_Min,G32&lt;=U15_Max),VLOOKUP(J32,Minimas!$A$15:$F$29,3),VLOOKUP(J32,Minimas!$A$15:$F$29,2))))),IF(G32&lt;=SENIORS_Min,VLOOKUP(J32,Minimas!$G$15:$L$29,6),IF(AND(G32&gt;=U20_Min,G32&lt;=U20_Max),VLOOKUP(J32,Minimas!$G$15:$L$29,5),IF(AND(G32&gt;=U17_Min,G32&lt;=U17_Max),VLOOKUP(J32,Minimas!$G$15:$L$29,4),IF(AND(G32&gt;=U15_Min,G32&lt;=U15_Max),VLOOKUP(J32,Minimas!$G$15:$L$29,3),VLOOKUP(J32,Minimas!$G$15:$L$29,2)))))))</f>
        <v>SE M65</v>
      </c>
      <c r="V32" s="74">
        <f t="shared" si="0"/>
        <v>210.7481366860238</v>
      </c>
      <c r="Z32" s="32"/>
      <c r="AA32" s="166">
        <f>$S32-HLOOKUP($U32,Minimas!$C$3:$BO$11,2,FALSE)</f>
        <v>45</v>
      </c>
      <c r="AB32" s="166">
        <f>$S32-HLOOKUP($U32,Minimas!$C$3:$BO$11,3,FALSE)</f>
        <v>16</v>
      </c>
      <c r="AC32" s="166">
        <f>$S32-HLOOKUP($U32,Minimas!$C$3:$BO$11,4,FALSE)</f>
        <v>-12</v>
      </c>
      <c r="AD32" s="166">
        <f>$S32-HLOOKUP($U32,Minimas!$C$3:$BO$11,5,FALSE)</f>
        <v>-41</v>
      </c>
      <c r="AE32" s="166">
        <f>$S32-HLOOKUP($U32,Minimas!$C$3:$BO$11,6,FALSE)</f>
        <v>-64</v>
      </c>
      <c r="AF32" s="166">
        <f>$S32-HLOOKUP($U32,Minimas!$C$3:$BO$11,7,FALSE)</f>
        <v>-84</v>
      </c>
      <c r="AG32" s="166">
        <f>$S32-HLOOKUP($U32,Minimas!$C$3:$BO$11,8,FALSE)</f>
        <v>-132</v>
      </c>
      <c r="AH32" s="166">
        <f>$S32-HLOOKUP($U32,Minimas!$C$3:$BO$11,9,FALSE)</f>
        <v>-141</v>
      </c>
      <c r="AI32" s="166"/>
      <c r="AJ32" s="163" t="str">
        <f t="shared" si="1"/>
        <v>DPT +</v>
      </c>
      <c r="AK32" s="163"/>
      <c r="AL32" s="163" t="str">
        <f t="shared" si="2"/>
        <v>DPT +</v>
      </c>
      <c r="AM32" s="166">
        <f t="shared" si="3"/>
        <v>16</v>
      </c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</row>
    <row r="33" spans="2:123" s="5" customFormat="1" ht="34.950000000000003" customHeight="1">
      <c r="B33" s="130"/>
      <c r="C33" s="64"/>
      <c r="D33" s="126"/>
      <c r="E33" s="65" t="s">
        <v>50</v>
      </c>
      <c r="F33" s="66"/>
      <c r="G33" s="67"/>
      <c r="H33" s="134"/>
      <c r="I33" s="65"/>
      <c r="J33" s="68">
        <v>62</v>
      </c>
      <c r="K33" s="69">
        <v>60</v>
      </c>
      <c r="L33" s="70"/>
      <c r="M33" s="71"/>
      <c r="N33" s="89">
        <f>IF(E33="","",IF(MAXA(K33:M33)&lt;=0,0,MAXA(K33:M33)))</f>
        <v>60</v>
      </c>
      <c r="O33" s="69">
        <v>85</v>
      </c>
      <c r="P33" s="70"/>
      <c r="Q33" s="71"/>
      <c r="R33" s="89">
        <f>IF(E33="","",IF(MAXA(O33:Q33)&lt;=0,0,MAXA(O33:Q33)))</f>
        <v>85</v>
      </c>
      <c r="S33" s="72">
        <f>IF(E33="","",N33+R33)</f>
        <v>145</v>
      </c>
      <c r="T33" s="73" t="str">
        <f t="shared" ref="T33:T34" si="13">+CONCATENATE(AL33," ",AM33)</f>
        <v>DPT + 16</v>
      </c>
      <c r="U33" s="73" t="str">
        <f>IF(E33=0," ",IF(E33="H",IF(G33&lt;=SENIORS_Min,VLOOKUP(J33,Minimas!$A$15:$F$29,6),IF(AND(G33&gt;=U20_Min,G33&lt;=U20_Max),VLOOKUP(J33,Minimas!$A$15:$F$29,5),IF(AND(G33&gt;=U17_Min,G33&lt;=U17_Max),VLOOKUP(J33,Minimas!$A$15:$F$29,4),IF(AND(G33&gt;=U15_Min,G33&lt;=U15_Max),VLOOKUP(J33,Minimas!$A$15:$F$29,3),VLOOKUP(J33,Minimas!$A$15:$F$29,2))))),IF(G33&lt;=SENIORS_Min,VLOOKUP(J33,Minimas!$G$15:$L$29,6),IF(AND(G33&gt;=U20_Min,G33&lt;=U20_Max),VLOOKUP(J33,Minimas!$G$15:$L$29,5),IF(AND(G33&gt;=U17_Min,G33&lt;=U17_Max),VLOOKUP(J33,Minimas!$G$15:$L$29,4),IF(AND(G33&gt;=U15_Min,G33&lt;=U15_Max),VLOOKUP(J33,Minimas!$G$15:$L$29,3),VLOOKUP(J33,Minimas!$G$15:$L$29,2)))))))</f>
        <v>SE M65</v>
      </c>
      <c r="V33" s="74">
        <f t="shared" si="0"/>
        <v>217.83592343763684</v>
      </c>
      <c r="Z33" s="32"/>
      <c r="AA33" s="166">
        <f>$S33-HLOOKUP($U33,Minimas!$C$3:$BO$11,2,FALSE)</f>
        <v>45</v>
      </c>
      <c r="AB33" s="166">
        <f>$S33-HLOOKUP($U33,Minimas!$C$3:$BO$11,3,FALSE)</f>
        <v>16</v>
      </c>
      <c r="AC33" s="166">
        <f>$S33-HLOOKUP($U33,Minimas!$C$3:$BO$11,4,FALSE)</f>
        <v>-12</v>
      </c>
      <c r="AD33" s="166">
        <f>$S33-HLOOKUP($U33,Minimas!$C$3:$BO$11,5,FALSE)</f>
        <v>-41</v>
      </c>
      <c r="AE33" s="166">
        <f>$S33-HLOOKUP($U33,Minimas!$C$3:$BO$11,6,FALSE)</f>
        <v>-64</v>
      </c>
      <c r="AF33" s="166">
        <f>$S33-HLOOKUP($U33,Minimas!$C$3:$BO$11,7,FALSE)</f>
        <v>-84</v>
      </c>
      <c r="AG33" s="166">
        <f>$S33-HLOOKUP($U33,Minimas!$C$3:$BO$11,8,FALSE)</f>
        <v>-132</v>
      </c>
      <c r="AH33" s="166">
        <f>$S33-HLOOKUP($U33,Minimas!$C$3:$BO$11,9,FALSE)</f>
        <v>-141</v>
      </c>
      <c r="AI33" s="166"/>
      <c r="AJ33" s="163" t="str">
        <f t="shared" si="1"/>
        <v>DPT +</v>
      </c>
      <c r="AK33" s="163"/>
      <c r="AL33" s="163" t="str">
        <f t="shared" si="2"/>
        <v>DPT +</v>
      </c>
      <c r="AM33" s="166">
        <f t="shared" si="3"/>
        <v>16</v>
      </c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</row>
    <row r="34" spans="2:123" s="5" customFormat="1" ht="34.950000000000003" customHeight="1">
      <c r="B34" s="130"/>
      <c r="C34" s="64"/>
      <c r="D34" s="126"/>
      <c r="E34" s="65" t="s">
        <v>50</v>
      </c>
      <c r="F34" s="66"/>
      <c r="G34" s="67"/>
      <c r="H34" s="135">
        <f>SUM(V31:V35)</f>
        <v>1267.6161930056251</v>
      </c>
      <c r="I34" s="65" t="s">
        <v>36</v>
      </c>
      <c r="J34" s="68">
        <v>82</v>
      </c>
      <c r="K34" s="69">
        <v>55</v>
      </c>
      <c r="L34" s="70"/>
      <c r="M34" s="71"/>
      <c r="N34" s="89">
        <f>IF(E34="","",IF(MAXA(K34:M34)&lt;=0,0,MAXA(K34:M34)))</f>
        <v>55</v>
      </c>
      <c r="O34" s="69">
        <v>75</v>
      </c>
      <c r="P34" s="70"/>
      <c r="Q34" s="71"/>
      <c r="R34" s="89">
        <f>IF(E34="","",IF(MAXA(O34:Q34)&lt;=0,0,MAXA(O34:Q34)))</f>
        <v>75</v>
      </c>
      <c r="S34" s="72">
        <f>IF(E34="","",N34+R34)</f>
        <v>130</v>
      </c>
      <c r="T34" s="73" t="str">
        <f t="shared" si="13"/>
        <v>DEB 7</v>
      </c>
      <c r="U34" s="73" t="str">
        <f>IF(E34=0," ",IF(E34="H",IF(G34&lt;=SENIORS_Min,VLOOKUP(J34,Minimas!$A$15:$F$29,6),IF(AND(G34&gt;=U20_Min,G34&lt;=U20_Max),VLOOKUP(J34,Minimas!$A$15:$F$29,5),IF(AND(G34&gt;=U17_Min,G34&lt;=U17_Max),VLOOKUP(J34,Minimas!$A$15:$F$29,4),IF(AND(G34&gt;=U15_Min,G34&lt;=U15_Max),VLOOKUP(J34,Minimas!$A$15:$F$29,3),VLOOKUP(J34,Minimas!$A$15:$F$29,2))))),IF(G34&lt;=SENIORS_Min,VLOOKUP(J34,Minimas!$G$15:$L$29,6),IF(AND(G34&gt;=U20_Min,G34&lt;=U20_Max),VLOOKUP(J34,Minimas!$G$15:$L$29,5),IF(AND(G34&gt;=U17_Min,G34&lt;=U17_Max),VLOOKUP(J34,Minimas!$G$15:$L$29,4),IF(AND(G34&gt;=U15_Min,G34&lt;=U15_Max),VLOOKUP(J34,Minimas!$G$15:$L$29,3),VLOOKUP(J34,Minimas!$G$15:$L$29,2)))))))</f>
        <v>SE M88</v>
      </c>
      <c r="V34" s="74">
        <f t="shared" si="0"/>
        <v>163.89315246155539</v>
      </c>
      <c r="Z34" s="32"/>
      <c r="AA34" s="166">
        <f>$S34-HLOOKUP($U34,Minimas!$C$3:$BO$11,2,FALSE)</f>
        <v>7</v>
      </c>
      <c r="AB34" s="166">
        <f>$S34-HLOOKUP($U34,Minimas!$C$3:$BO$11,3,FALSE)</f>
        <v>-28</v>
      </c>
      <c r="AC34" s="166">
        <f>$S34-HLOOKUP($U34,Minimas!$C$3:$BO$11,4,FALSE)</f>
        <v>-63</v>
      </c>
      <c r="AD34" s="166">
        <f>$S34-HLOOKUP($U34,Minimas!$C$3:$BO$11,5,FALSE)</f>
        <v>-98</v>
      </c>
      <c r="AE34" s="166">
        <f>$S34-HLOOKUP($U34,Minimas!$C$3:$BO$11,6,FALSE)</f>
        <v>-126</v>
      </c>
      <c r="AF34" s="166">
        <f>$S34-HLOOKUP($U34,Minimas!$C$3:$BO$11,7,FALSE)</f>
        <v>-150</v>
      </c>
      <c r="AG34" s="166">
        <f>$S34-HLOOKUP($U34,Minimas!$C$3:$BO$11,8,FALSE)</f>
        <v>-210</v>
      </c>
      <c r="AH34" s="166">
        <f>$S34-HLOOKUP($U34,Minimas!$C$3:$BO$11,9,FALSE)</f>
        <v>-220</v>
      </c>
      <c r="AI34" s="166"/>
      <c r="AJ34" s="163" t="str">
        <f t="shared" si="1"/>
        <v>DEB</v>
      </c>
      <c r="AK34" s="163"/>
      <c r="AL34" s="163" t="str">
        <f t="shared" si="2"/>
        <v>DEB</v>
      </c>
      <c r="AM34" s="166">
        <f t="shared" si="3"/>
        <v>7</v>
      </c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</row>
    <row r="35" spans="2:123" s="5" customFormat="1" ht="34.950000000000003" customHeight="1" thickBot="1">
      <c r="B35" s="131"/>
      <c r="C35" s="75"/>
      <c r="D35" s="127"/>
      <c r="E35" s="76" t="s">
        <v>51</v>
      </c>
      <c r="F35" s="77"/>
      <c r="G35" s="78"/>
      <c r="H35" s="136">
        <f>SUM(V31:V35)</f>
        <v>1267.6161930056251</v>
      </c>
      <c r="I35" s="76" t="s">
        <v>36</v>
      </c>
      <c r="J35" s="79">
        <v>72</v>
      </c>
      <c r="K35" s="80">
        <v>70</v>
      </c>
      <c r="L35" s="81"/>
      <c r="M35" s="82"/>
      <c r="N35" s="90">
        <f>IF(E35="","",IF(MAXA(K35:M35)&lt;=0,0,MAXA(K35:M35)))</f>
        <v>70</v>
      </c>
      <c r="O35" s="80">
        <v>90</v>
      </c>
      <c r="P35" s="81"/>
      <c r="Q35" s="82"/>
      <c r="R35" s="90">
        <f>IF(E35="","",IF(MAXA(O35:Q35)&lt;=0,0,MAXA(O35:Q35)))</f>
        <v>90</v>
      </c>
      <c r="S35" s="83">
        <f>IF(E35="","",N35+R35)</f>
        <v>160</v>
      </c>
      <c r="T35" s="84" t="str">
        <f>+CONCATENATE(AL35," ",AM35)</f>
        <v>IRG + 12</v>
      </c>
      <c r="U35" s="84" t="str">
        <f>IF(E35=0," ",IF(E35="H",IF(G35&lt;=SENIORS_Min,VLOOKUP(J35,Minimas!$A$15:$F$29,6),IF(AND(G35&gt;=U20_Min,G35&lt;=U20_Max),VLOOKUP(J35,Minimas!$A$15:$F$29,5),IF(AND(G35&gt;=U17_Min,G35&lt;=U17_Max),VLOOKUP(J35,Minimas!$A$15:$F$29,4),IF(AND(G35&gt;=U15_Min,G35&lt;=U15_Max),VLOOKUP(J35,Minimas!$A$15:$F$29,3),VLOOKUP(J35,Minimas!$A$15:$F$29,2))))),IF(G35&lt;=SENIORS_Min,VLOOKUP(J35,Minimas!$G$15:$L$29,6),IF(AND(G35&gt;=U20_Min,G35&lt;=U20_Max),VLOOKUP(J35,Minimas!$G$15:$L$29,5),IF(AND(G35&gt;=U17_Min,G35&lt;=U17_Max),VLOOKUP(J35,Minimas!$G$15:$L$29,4),IF(AND(G35&gt;=U15_Min,G35&lt;=U15_Max),VLOOKUP(J35,Minimas!$G$15:$L$29,3),VLOOKUP(J35,Minimas!$G$15:$L$29,2)))))))</f>
        <v>SE F77</v>
      </c>
      <c r="V35" s="85">
        <f t="shared" si="0"/>
        <v>292.18488429186294</v>
      </c>
      <c r="Z35" s="32"/>
      <c r="AA35" s="166">
        <f>$S35-HLOOKUP($U35,Minimas!$C$3:$BO$11,2,FALSE)</f>
        <v>80</v>
      </c>
      <c r="AB35" s="166">
        <f>$S35-HLOOKUP($U35,Minimas!$C$3:$BO$11,3,FALSE)</f>
        <v>57</v>
      </c>
      <c r="AC35" s="166">
        <f>$S35-HLOOKUP($U35,Minimas!$C$3:$BO$11,4,FALSE)</f>
        <v>35</v>
      </c>
      <c r="AD35" s="166">
        <f>$S35-HLOOKUP($U35,Minimas!$C$3:$BO$11,5,FALSE)</f>
        <v>12</v>
      </c>
      <c r="AE35" s="166">
        <f>$S35-HLOOKUP($U35,Minimas!$C$3:$BO$11,6,FALSE)</f>
        <v>-6</v>
      </c>
      <c r="AF35" s="166">
        <f>$S35-HLOOKUP($U35,Minimas!$C$3:$BO$11,7,FALSE)</f>
        <v>-22</v>
      </c>
      <c r="AG35" s="166">
        <f>$S35-HLOOKUP($U35,Minimas!$C$3:$BO$11,8,FALSE)</f>
        <v>-61</v>
      </c>
      <c r="AH35" s="166">
        <f>$S35-HLOOKUP($U35,Minimas!$C$3:$BO$11,9,FALSE)</f>
        <v>-68</v>
      </c>
      <c r="AI35" s="166"/>
      <c r="AJ35" s="163" t="str">
        <f t="shared" si="1"/>
        <v>IRG +</v>
      </c>
      <c r="AK35" s="163"/>
      <c r="AL35" s="163" t="str">
        <f t="shared" si="2"/>
        <v>IRG +</v>
      </c>
      <c r="AM35" s="166">
        <f t="shared" si="3"/>
        <v>12</v>
      </c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</row>
    <row r="36" spans="2:123" s="11" customFormat="1" ht="10.199999999999999" customHeight="1">
      <c r="O36" s="10"/>
    </row>
    <row r="37" spans="2:123" ht="15.6">
      <c r="F37" s="118" t="s">
        <v>56</v>
      </c>
      <c r="K37" s="167"/>
      <c r="L37" s="168" t="s">
        <v>57</v>
      </c>
      <c r="M37" s="169"/>
      <c r="N37" s="169"/>
      <c r="O37" s="169"/>
      <c r="Y37" s="112">
        <f>H10</f>
        <v>1347.9246196142831</v>
      </c>
    </row>
    <row r="38" spans="2:123" ht="15.6">
      <c r="J38" s="119" t="s">
        <v>58</v>
      </c>
      <c r="K38" s="170"/>
      <c r="L38" s="168" t="s">
        <v>59</v>
      </c>
      <c r="M38" s="169"/>
      <c r="N38" s="169"/>
      <c r="O38" s="169"/>
      <c r="Y38" s="112">
        <f>H16</f>
        <v>1308.105527004921</v>
      </c>
    </row>
    <row r="39" spans="2:123" ht="17.399999999999999">
      <c r="K39" s="171"/>
      <c r="L39" s="168" t="s">
        <v>60</v>
      </c>
      <c r="M39" s="169"/>
      <c r="N39" s="169"/>
      <c r="O39" s="169"/>
      <c r="Y39" s="112">
        <f>H22</f>
        <v>1367.949121846772</v>
      </c>
    </row>
    <row r="40" spans="2:123" ht="13.8">
      <c r="Y40" s="112">
        <f>H28</f>
        <v>1370.1654147688762</v>
      </c>
    </row>
    <row r="41" spans="2:123" ht="13.8">
      <c r="Y41" s="113">
        <f>H34</f>
        <v>1267.6161930056251</v>
      </c>
    </row>
    <row r="42" spans="2:123" ht="13.8">
      <c r="Y42" s="112">
        <f>H34</f>
        <v>1267.6161930056251</v>
      </c>
    </row>
  </sheetData>
  <mergeCells count="27">
    <mergeCell ref="B7:B11"/>
    <mergeCell ref="D7:D11"/>
    <mergeCell ref="H7:H9"/>
    <mergeCell ref="H10:H11"/>
    <mergeCell ref="D13:D17"/>
    <mergeCell ref="D31:D35"/>
    <mergeCell ref="B13:B17"/>
    <mergeCell ref="B31:B35"/>
    <mergeCell ref="H13:H15"/>
    <mergeCell ref="H16:H17"/>
    <mergeCell ref="H31:H33"/>
    <mergeCell ref="H34:H35"/>
    <mergeCell ref="B19:B23"/>
    <mergeCell ref="D19:D23"/>
    <mergeCell ref="H19:H21"/>
    <mergeCell ref="H22:H23"/>
    <mergeCell ref="B25:B29"/>
    <mergeCell ref="D25:D29"/>
    <mergeCell ref="H25:H27"/>
    <mergeCell ref="H28:H29"/>
    <mergeCell ref="E2:H3"/>
    <mergeCell ref="M2:R2"/>
    <mergeCell ref="U2:V2"/>
    <mergeCell ref="M3:R3"/>
    <mergeCell ref="U3:V3"/>
    <mergeCell ref="J2:K2"/>
    <mergeCell ref="J3:K3"/>
  </mergeCells>
  <phoneticPr fontId="0" type="noConversion"/>
  <conditionalFormatting sqref="E1 E4:E1048576">
    <cfRule type="cellIs" dxfId="9" priority="3" operator="equal">
      <formula>"F"</formula>
    </cfRule>
  </conditionalFormatting>
  <conditionalFormatting sqref="J38">
    <cfRule type="cellIs" dxfId="8" priority="1" stopIfTrue="1" operator="lessThan">
      <formula>0</formula>
    </cfRule>
  </conditionalFormatting>
  <conditionalFormatting sqref="K7:M35">
    <cfRule type="cellIs" dxfId="7" priority="4" operator="lessThan">
      <formula>0</formula>
    </cfRule>
  </conditionalFormatting>
  <conditionalFormatting sqref="K37:O39">
    <cfRule type="cellIs" dxfId="6" priority="2" stopIfTrue="1" operator="lessThan">
      <formula>0</formula>
    </cfRule>
  </conditionalFormatting>
  <conditionalFormatting sqref="O7:Q35">
    <cfRule type="cellIs" dxfId="5" priority="8" operator="lessThan">
      <formula>0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2" orientation="landscape" horizontalDpi="180" verticalDpi="180" r:id="rId1"/>
  <headerFooter alignWithMargins="0"/>
  <ignoredErrors>
    <ignoredError sqref="L33:M35 H10:H11 L31:M31 H12" unlockedFormula="1"/>
    <ignoredError sqref="N9:N11 N7" formulaRange="1"/>
    <ignoredError sqref="T7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P38"/>
  <sheetViews>
    <sheetView topLeftCell="AZ1" zoomScaleNormal="100" workbookViewId="0">
      <selection activeCell="BL5" sqref="BL5"/>
    </sheetView>
  </sheetViews>
  <sheetFormatPr baseColWidth="10" defaultColWidth="11.44140625" defaultRowHeight="13.2"/>
  <cols>
    <col min="3" max="5" width="10.5546875" bestFit="1" customWidth="1"/>
    <col min="6" max="68" width="9.6640625" customWidth="1"/>
  </cols>
  <sheetData>
    <row r="3" spans="1:68">
      <c r="C3" s="143" t="s">
        <v>39</v>
      </c>
      <c r="D3" s="143" t="s">
        <v>69</v>
      </c>
      <c r="E3" s="143" t="s">
        <v>71</v>
      </c>
      <c r="F3" s="143" t="s">
        <v>75</v>
      </c>
      <c r="G3" s="143" t="s">
        <v>83</v>
      </c>
      <c r="H3" s="143" t="s">
        <v>91</v>
      </c>
      <c r="I3" s="143" t="s">
        <v>99</v>
      </c>
      <c r="J3" s="143" t="s">
        <v>107</v>
      </c>
      <c r="K3" s="143" t="s">
        <v>65</v>
      </c>
      <c r="L3" s="143" t="s">
        <v>72</v>
      </c>
      <c r="M3" s="143" t="s">
        <v>76</v>
      </c>
      <c r="N3" s="143" t="s">
        <v>84</v>
      </c>
      <c r="O3" s="143" t="s">
        <v>92</v>
      </c>
      <c r="P3" s="143" t="s">
        <v>100</v>
      </c>
      <c r="Q3" s="143" t="s">
        <v>108</v>
      </c>
      <c r="R3" s="143" t="s">
        <v>115</v>
      </c>
      <c r="S3" s="143" t="s">
        <v>66</v>
      </c>
      <c r="T3" s="143" t="s">
        <v>77</v>
      </c>
      <c r="U3" s="143" t="s">
        <v>85</v>
      </c>
      <c r="V3" s="143" t="s">
        <v>93</v>
      </c>
      <c r="W3" s="143" t="s">
        <v>101</v>
      </c>
      <c r="X3" s="143" t="s">
        <v>109</v>
      </c>
      <c r="Y3" s="143" t="s">
        <v>116</v>
      </c>
      <c r="Z3" s="143" t="s">
        <v>121</v>
      </c>
      <c r="AA3" s="143" t="s">
        <v>67</v>
      </c>
      <c r="AB3" s="143" t="s">
        <v>78</v>
      </c>
      <c r="AC3" s="143" t="s">
        <v>86</v>
      </c>
      <c r="AD3" s="143" t="s">
        <v>94</v>
      </c>
      <c r="AE3" s="143" t="s">
        <v>102</v>
      </c>
      <c r="AF3" s="143" t="s">
        <v>110</v>
      </c>
      <c r="AG3" s="143" t="s">
        <v>117</v>
      </c>
      <c r="AH3" s="143" t="s">
        <v>122</v>
      </c>
      <c r="AI3" s="141" t="s">
        <v>61</v>
      </c>
      <c r="AJ3" s="141" t="s">
        <v>68</v>
      </c>
      <c r="AK3" s="141" t="s">
        <v>70</v>
      </c>
      <c r="AL3" s="141" t="s">
        <v>73</v>
      </c>
      <c r="AM3" s="141" t="s">
        <v>79</v>
      </c>
      <c r="AN3" s="141" t="s">
        <v>87</v>
      </c>
      <c r="AO3" s="141" t="s">
        <v>95</v>
      </c>
      <c r="AP3" s="141" t="s">
        <v>103</v>
      </c>
      <c r="AQ3" s="141" t="s">
        <v>111</v>
      </c>
      <c r="AR3" s="141" t="s">
        <v>62</v>
      </c>
      <c r="AS3" s="141" t="s">
        <v>74</v>
      </c>
      <c r="AT3" s="141" t="s">
        <v>80</v>
      </c>
      <c r="AU3" s="141" t="s">
        <v>88</v>
      </c>
      <c r="AV3" s="141" t="s">
        <v>96</v>
      </c>
      <c r="AW3" s="141" t="s">
        <v>104</v>
      </c>
      <c r="AX3" s="141" t="s">
        <v>112</v>
      </c>
      <c r="AY3" s="141" t="s">
        <v>118</v>
      </c>
      <c r="AZ3" s="141" t="s">
        <v>63</v>
      </c>
      <c r="BA3" s="141" t="s">
        <v>81</v>
      </c>
      <c r="BB3" s="141" t="s">
        <v>89</v>
      </c>
      <c r="BC3" s="141" t="s">
        <v>97</v>
      </c>
      <c r="BD3" s="141" t="s">
        <v>105</v>
      </c>
      <c r="BE3" s="141" t="s">
        <v>113</v>
      </c>
      <c r="BF3" s="141" t="s">
        <v>119</v>
      </c>
      <c r="BG3" s="141" t="s">
        <v>123</v>
      </c>
      <c r="BH3" s="141" t="s">
        <v>64</v>
      </c>
      <c r="BI3" s="141" t="s">
        <v>82</v>
      </c>
      <c r="BJ3" s="141" t="s">
        <v>90</v>
      </c>
      <c r="BK3" s="141" t="s">
        <v>98</v>
      </c>
      <c r="BL3" s="141" t="s">
        <v>106</v>
      </c>
      <c r="BM3" s="141" t="s">
        <v>114</v>
      </c>
      <c r="BN3" s="141" t="s">
        <v>120</v>
      </c>
      <c r="BO3" s="141" t="s">
        <v>124</v>
      </c>
    </row>
    <row r="4" spans="1:68">
      <c r="B4" s="147" t="s">
        <v>16</v>
      </c>
      <c r="C4" s="148">
        <v>29</v>
      </c>
      <c r="D4" s="148">
        <v>32</v>
      </c>
      <c r="E4" s="148">
        <v>35</v>
      </c>
      <c r="F4" s="148">
        <v>37</v>
      </c>
      <c r="G4" s="148">
        <v>41</v>
      </c>
      <c r="H4" s="148">
        <v>42</v>
      </c>
      <c r="I4" s="148">
        <v>44</v>
      </c>
      <c r="J4" s="148">
        <v>53</v>
      </c>
      <c r="K4" s="149">
        <v>40</v>
      </c>
      <c r="L4" s="149">
        <v>44</v>
      </c>
      <c r="M4" s="149">
        <v>46</v>
      </c>
      <c r="N4" s="149">
        <v>51</v>
      </c>
      <c r="O4" s="149">
        <v>53</v>
      </c>
      <c r="P4" s="149">
        <v>55</v>
      </c>
      <c r="Q4" s="149">
        <v>57</v>
      </c>
      <c r="R4" s="149">
        <v>61</v>
      </c>
      <c r="S4" s="150">
        <v>52</v>
      </c>
      <c r="T4" s="150">
        <v>55</v>
      </c>
      <c r="U4" s="150">
        <v>61</v>
      </c>
      <c r="V4" s="150">
        <v>63</v>
      </c>
      <c r="W4" s="150">
        <v>66</v>
      </c>
      <c r="X4" s="150">
        <v>68</v>
      </c>
      <c r="Y4" s="150">
        <v>71</v>
      </c>
      <c r="Z4" s="150">
        <v>75</v>
      </c>
      <c r="AA4" s="151">
        <v>61</v>
      </c>
      <c r="AB4" s="151">
        <v>64</v>
      </c>
      <c r="AC4" s="151">
        <v>71</v>
      </c>
      <c r="AD4" s="151">
        <v>74</v>
      </c>
      <c r="AE4" s="151">
        <v>77</v>
      </c>
      <c r="AF4" s="151">
        <v>80</v>
      </c>
      <c r="AG4" s="151">
        <v>82</v>
      </c>
      <c r="AH4" s="151">
        <v>88</v>
      </c>
      <c r="AI4" s="152">
        <v>40</v>
      </c>
      <c r="AJ4" s="152">
        <v>44</v>
      </c>
      <c r="AK4" s="152">
        <v>49</v>
      </c>
      <c r="AL4" s="152">
        <v>54</v>
      </c>
      <c r="AM4" s="152">
        <v>57</v>
      </c>
      <c r="AN4" s="152">
        <v>62</v>
      </c>
      <c r="AO4" s="152">
        <v>65</v>
      </c>
      <c r="AP4" s="152">
        <v>70</v>
      </c>
      <c r="AQ4" s="152">
        <v>83</v>
      </c>
      <c r="AR4" s="153">
        <v>61</v>
      </c>
      <c r="AS4" s="153">
        <v>68</v>
      </c>
      <c r="AT4" s="154">
        <v>72</v>
      </c>
      <c r="AU4" s="153">
        <v>77</v>
      </c>
      <c r="AV4" s="153">
        <v>81</v>
      </c>
      <c r="AW4" s="153">
        <v>88</v>
      </c>
      <c r="AX4" s="153">
        <v>89</v>
      </c>
      <c r="AY4" s="153">
        <v>96</v>
      </c>
      <c r="AZ4" s="155">
        <v>81</v>
      </c>
      <c r="BA4" s="155">
        <v>86</v>
      </c>
      <c r="BB4" s="155">
        <v>93</v>
      </c>
      <c r="BC4" s="155">
        <v>98</v>
      </c>
      <c r="BD4" s="155">
        <v>105</v>
      </c>
      <c r="BE4" s="155">
        <v>107</v>
      </c>
      <c r="BF4" s="155">
        <v>111</v>
      </c>
      <c r="BG4" s="155">
        <v>119</v>
      </c>
      <c r="BH4" s="156">
        <v>95</v>
      </c>
      <c r="BI4" s="156">
        <v>100</v>
      </c>
      <c r="BJ4" s="156">
        <v>108</v>
      </c>
      <c r="BK4" s="156">
        <v>114</v>
      </c>
      <c r="BL4" s="156">
        <v>123</v>
      </c>
      <c r="BM4" s="156">
        <v>125</v>
      </c>
      <c r="BN4" s="156">
        <v>130</v>
      </c>
      <c r="BO4" s="156">
        <v>138</v>
      </c>
    </row>
    <row r="5" spans="1:68">
      <c r="B5" s="147" t="s">
        <v>17</v>
      </c>
      <c r="C5" s="148">
        <v>36</v>
      </c>
      <c r="D5" s="148">
        <v>40</v>
      </c>
      <c r="E5" s="148">
        <v>44</v>
      </c>
      <c r="F5" s="148">
        <v>46</v>
      </c>
      <c r="G5" s="148">
        <v>51</v>
      </c>
      <c r="H5" s="148">
        <v>53</v>
      </c>
      <c r="I5" s="148">
        <v>55</v>
      </c>
      <c r="J5" s="148">
        <v>63</v>
      </c>
      <c r="K5" s="149">
        <v>47</v>
      </c>
      <c r="L5" s="149">
        <v>52</v>
      </c>
      <c r="M5" s="149">
        <v>55</v>
      </c>
      <c r="N5" s="149">
        <v>61</v>
      </c>
      <c r="O5" s="149">
        <v>63</v>
      </c>
      <c r="P5" s="149">
        <v>66</v>
      </c>
      <c r="Q5" s="149">
        <v>68</v>
      </c>
      <c r="R5" s="149">
        <v>73</v>
      </c>
      <c r="S5" s="150">
        <v>61</v>
      </c>
      <c r="T5" s="150">
        <v>64</v>
      </c>
      <c r="U5" s="150">
        <v>71</v>
      </c>
      <c r="V5" s="150">
        <v>74</v>
      </c>
      <c r="W5" s="150">
        <v>77</v>
      </c>
      <c r="X5" s="150">
        <v>80</v>
      </c>
      <c r="Y5" s="150">
        <v>88</v>
      </c>
      <c r="Z5" s="150">
        <v>88</v>
      </c>
      <c r="AA5" s="151">
        <v>78</v>
      </c>
      <c r="AB5" s="151">
        <v>83</v>
      </c>
      <c r="AC5" s="151">
        <v>91</v>
      </c>
      <c r="AD5" s="151">
        <v>95</v>
      </c>
      <c r="AE5" s="151">
        <v>99</v>
      </c>
      <c r="AF5" s="151">
        <v>103</v>
      </c>
      <c r="AG5" s="151">
        <v>106</v>
      </c>
      <c r="AH5" s="151">
        <v>113</v>
      </c>
      <c r="AI5" s="157">
        <v>50</v>
      </c>
      <c r="AJ5" s="157">
        <v>55</v>
      </c>
      <c r="AK5" s="157">
        <v>61</v>
      </c>
      <c r="AL5" s="157">
        <v>68</v>
      </c>
      <c r="AM5" s="157">
        <v>72</v>
      </c>
      <c r="AN5" s="157">
        <v>77</v>
      </c>
      <c r="AO5" s="157">
        <v>81</v>
      </c>
      <c r="AP5" s="157">
        <v>88</v>
      </c>
      <c r="AQ5" s="157">
        <v>100</v>
      </c>
      <c r="AR5" s="158">
        <v>73</v>
      </c>
      <c r="AS5" s="158">
        <v>81</v>
      </c>
      <c r="AT5" s="158">
        <v>86</v>
      </c>
      <c r="AU5" s="158">
        <v>93</v>
      </c>
      <c r="AV5" s="158">
        <v>98</v>
      </c>
      <c r="AW5" s="158">
        <v>105</v>
      </c>
      <c r="AX5" s="158">
        <v>107</v>
      </c>
      <c r="AY5" s="158">
        <v>115</v>
      </c>
      <c r="AZ5" s="159">
        <v>95</v>
      </c>
      <c r="BA5" s="159">
        <v>100</v>
      </c>
      <c r="BB5" s="159">
        <v>108</v>
      </c>
      <c r="BC5" s="159">
        <v>114</v>
      </c>
      <c r="BD5" s="159">
        <v>123</v>
      </c>
      <c r="BE5" s="159">
        <v>125</v>
      </c>
      <c r="BF5" s="159">
        <v>130</v>
      </c>
      <c r="BG5" s="159">
        <v>138</v>
      </c>
      <c r="BH5" s="160">
        <v>122</v>
      </c>
      <c r="BI5" s="160">
        <v>129</v>
      </c>
      <c r="BJ5" s="160">
        <v>139</v>
      </c>
      <c r="BK5" s="160">
        <v>146</v>
      </c>
      <c r="BL5" s="160">
        <v>158</v>
      </c>
      <c r="BM5" s="160">
        <v>160</v>
      </c>
      <c r="BN5" s="160">
        <v>167</v>
      </c>
      <c r="BO5" s="160">
        <v>178</v>
      </c>
    </row>
    <row r="6" spans="1:68">
      <c r="B6" s="147" t="s">
        <v>18</v>
      </c>
      <c r="C6" s="148">
        <v>42</v>
      </c>
      <c r="D6" s="148">
        <v>47</v>
      </c>
      <c r="E6" s="148">
        <v>52</v>
      </c>
      <c r="F6" s="148">
        <v>55</v>
      </c>
      <c r="G6" s="148">
        <v>61</v>
      </c>
      <c r="H6" s="148">
        <v>63</v>
      </c>
      <c r="I6" s="148">
        <v>66</v>
      </c>
      <c r="J6" s="148">
        <v>74</v>
      </c>
      <c r="K6" s="149">
        <v>55</v>
      </c>
      <c r="L6" s="149">
        <v>61</v>
      </c>
      <c r="M6" s="149">
        <v>64</v>
      </c>
      <c r="N6" s="149">
        <v>71</v>
      </c>
      <c r="O6" s="149">
        <v>74</v>
      </c>
      <c r="P6" s="149">
        <v>77</v>
      </c>
      <c r="Q6" s="149">
        <v>80</v>
      </c>
      <c r="R6" s="149">
        <v>85</v>
      </c>
      <c r="S6" s="150">
        <v>78</v>
      </c>
      <c r="T6" s="150">
        <v>83</v>
      </c>
      <c r="U6" s="150">
        <v>91</v>
      </c>
      <c r="V6" s="150">
        <v>95</v>
      </c>
      <c r="W6" s="150">
        <v>99</v>
      </c>
      <c r="X6" s="150">
        <v>103</v>
      </c>
      <c r="Y6" s="150">
        <v>113</v>
      </c>
      <c r="Z6" s="150">
        <v>113</v>
      </c>
      <c r="AA6" s="151">
        <v>96</v>
      </c>
      <c r="AB6" s="151">
        <v>101</v>
      </c>
      <c r="AC6" s="151">
        <v>112</v>
      </c>
      <c r="AD6" s="151">
        <v>116</v>
      </c>
      <c r="AE6" s="151">
        <v>121</v>
      </c>
      <c r="AF6" s="151">
        <v>125</v>
      </c>
      <c r="AG6" s="151">
        <v>129</v>
      </c>
      <c r="AH6" s="151">
        <v>138</v>
      </c>
      <c r="AI6" s="157">
        <v>62</v>
      </c>
      <c r="AJ6" s="157">
        <v>66</v>
      </c>
      <c r="AK6" s="157">
        <v>73</v>
      </c>
      <c r="AL6" s="157">
        <v>81</v>
      </c>
      <c r="AM6" s="157">
        <v>86</v>
      </c>
      <c r="AN6" s="157">
        <v>93</v>
      </c>
      <c r="AO6" s="157">
        <v>98</v>
      </c>
      <c r="AP6" s="157">
        <v>105</v>
      </c>
      <c r="AQ6" s="157">
        <v>117</v>
      </c>
      <c r="AR6" s="158">
        <v>86</v>
      </c>
      <c r="AS6" s="158">
        <v>95</v>
      </c>
      <c r="AT6" s="158">
        <v>100</v>
      </c>
      <c r="AU6" s="158">
        <v>108</v>
      </c>
      <c r="AV6" s="158">
        <v>114</v>
      </c>
      <c r="AW6" s="158">
        <v>123</v>
      </c>
      <c r="AX6" s="158">
        <v>125</v>
      </c>
      <c r="AY6" s="158">
        <v>134</v>
      </c>
      <c r="AZ6" s="159">
        <v>122</v>
      </c>
      <c r="BA6" s="159">
        <v>129</v>
      </c>
      <c r="BB6" s="159">
        <v>139</v>
      </c>
      <c r="BC6" s="159">
        <v>146</v>
      </c>
      <c r="BD6" s="159">
        <v>158</v>
      </c>
      <c r="BE6" s="159">
        <v>160</v>
      </c>
      <c r="BF6" s="159">
        <v>167</v>
      </c>
      <c r="BG6" s="159">
        <v>178</v>
      </c>
      <c r="BH6" s="160">
        <v>149</v>
      </c>
      <c r="BI6" s="160">
        <v>157</v>
      </c>
      <c r="BJ6" s="160">
        <v>170</v>
      </c>
      <c r="BK6" s="160">
        <v>179</v>
      </c>
      <c r="BL6" s="160">
        <v>193</v>
      </c>
      <c r="BM6" s="160">
        <v>196</v>
      </c>
      <c r="BN6" s="160">
        <v>204</v>
      </c>
      <c r="BO6" s="160">
        <v>217</v>
      </c>
    </row>
    <row r="7" spans="1:68">
      <c r="B7" s="147" t="s">
        <v>19</v>
      </c>
      <c r="C7" s="148">
        <v>50</v>
      </c>
      <c r="D7" s="148">
        <v>55</v>
      </c>
      <c r="E7" s="148">
        <v>61</v>
      </c>
      <c r="F7" s="148">
        <v>64</v>
      </c>
      <c r="G7" s="148">
        <v>71</v>
      </c>
      <c r="H7" s="148">
        <v>74</v>
      </c>
      <c r="I7" s="148">
        <v>77</v>
      </c>
      <c r="J7" s="148">
        <v>95</v>
      </c>
      <c r="K7" s="149">
        <v>70</v>
      </c>
      <c r="L7" s="149">
        <v>78</v>
      </c>
      <c r="M7" s="149">
        <v>83</v>
      </c>
      <c r="N7" s="149">
        <v>91</v>
      </c>
      <c r="O7" s="149">
        <v>95</v>
      </c>
      <c r="P7" s="149">
        <v>99</v>
      </c>
      <c r="Q7" s="149">
        <v>103</v>
      </c>
      <c r="R7" s="149">
        <v>109</v>
      </c>
      <c r="S7" s="150">
        <v>96</v>
      </c>
      <c r="T7" s="150">
        <v>101</v>
      </c>
      <c r="U7" s="150">
        <v>112</v>
      </c>
      <c r="V7" s="150">
        <v>116</v>
      </c>
      <c r="W7" s="150">
        <v>121</v>
      </c>
      <c r="X7" s="150">
        <v>125</v>
      </c>
      <c r="Y7" s="150">
        <v>138</v>
      </c>
      <c r="Z7" s="150">
        <v>138</v>
      </c>
      <c r="AA7" s="151">
        <v>113</v>
      </c>
      <c r="AB7" s="151">
        <v>120</v>
      </c>
      <c r="AC7" s="151">
        <v>132</v>
      </c>
      <c r="AD7" s="151">
        <v>137</v>
      </c>
      <c r="AE7" s="151">
        <v>143</v>
      </c>
      <c r="AF7" s="151">
        <v>148</v>
      </c>
      <c r="AG7" s="151">
        <v>153</v>
      </c>
      <c r="AH7" s="151">
        <v>163</v>
      </c>
      <c r="AI7" s="157">
        <v>75</v>
      </c>
      <c r="AJ7" s="157">
        <v>77</v>
      </c>
      <c r="AK7" s="157">
        <v>86</v>
      </c>
      <c r="AL7" s="157">
        <v>95</v>
      </c>
      <c r="AM7" s="157">
        <v>100</v>
      </c>
      <c r="AN7" s="157">
        <v>108</v>
      </c>
      <c r="AO7" s="157">
        <v>114</v>
      </c>
      <c r="AP7" s="157">
        <v>123</v>
      </c>
      <c r="AQ7" s="157">
        <v>149</v>
      </c>
      <c r="AR7" s="158">
        <v>110</v>
      </c>
      <c r="AS7" s="158">
        <v>122</v>
      </c>
      <c r="AT7" s="158">
        <v>129</v>
      </c>
      <c r="AU7" s="158">
        <v>139</v>
      </c>
      <c r="AV7" s="158">
        <v>146</v>
      </c>
      <c r="AW7" s="158">
        <v>158</v>
      </c>
      <c r="AX7" s="158">
        <v>160</v>
      </c>
      <c r="AY7" s="158">
        <v>172</v>
      </c>
      <c r="AZ7" s="159">
        <v>149</v>
      </c>
      <c r="BA7" s="159">
        <v>157</v>
      </c>
      <c r="BB7" s="159">
        <v>170</v>
      </c>
      <c r="BC7" s="159">
        <v>179</v>
      </c>
      <c r="BD7" s="159">
        <v>193</v>
      </c>
      <c r="BE7" s="159">
        <v>196</v>
      </c>
      <c r="BF7" s="159">
        <v>204</v>
      </c>
      <c r="BG7" s="159">
        <v>217</v>
      </c>
      <c r="BH7" s="160">
        <v>176</v>
      </c>
      <c r="BI7" s="160">
        <v>186</v>
      </c>
      <c r="BJ7" s="160">
        <v>201</v>
      </c>
      <c r="BK7" s="160">
        <v>211</v>
      </c>
      <c r="BL7" s="160">
        <v>228</v>
      </c>
      <c r="BM7" s="160">
        <v>231</v>
      </c>
      <c r="BN7" s="160">
        <v>241</v>
      </c>
      <c r="BO7" s="160">
        <v>257</v>
      </c>
    </row>
    <row r="8" spans="1:68">
      <c r="B8" s="147" t="s">
        <v>125</v>
      </c>
      <c r="C8" s="148">
        <v>63</v>
      </c>
      <c r="D8" s="148">
        <v>70</v>
      </c>
      <c r="E8" s="148">
        <v>78</v>
      </c>
      <c r="F8" s="148">
        <v>83</v>
      </c>
      <c r="G8" s="148">
        <v>91</v>
      </c>
      <c r="H8" s="148">
        <v>95</v>
      </c>
      <c r="I8" s="148">
        <v>99</v>
      </c>
      <c r="J8" s="148">
        <v>116</v>
      </c>
      <c r="K8" s="149">
        <v>86</v>
      </c>
      <c r="L8" s="149">
        <v>96</v>
      </c>
      <c r="M8" s="149">
        <v>101</v>
      </c>
      <c r="N8" s="149">
        <v>112</v>
      </c>
      <c r="O8" s="149">
        <v>116</v>
      </c>
      <c r="P8" s="149">
        <v>121</v>
      </c>
      <c r="Q8" s="149">
        <v>125</v>
      </c>
      <c r="R8" s="149">
        <v>133</v>
      </c>
      <c r="S8" s="150">
        <v>113</v>
      </c>
      <c r="T8" s="150">
        <v>120</v>
      </c>
      <c r="U8" s="150">
        <v>132</v>
      </c>
      <c r="V8" s="150">
        <v>137</v>
      </c>
      <c r="W8" s="150">
        <v>143</v>
      </c>
      <c r="X8" s="150">
        <v>148</v>
      </c>
      <c r="Y8" s="150">
        <v>163</v>
      </c>
      <c r="Z8" s="150">
        <v>163</v>
      </c>
      <c r="AA8" s="151">
        <v>127</v>
      </c>
      <c r="AB8" s="151">
        <v>134</v>
      </c>
      <c r="AC8" s="151">
        <v>148</v>
      </c>
      <c r="AD8" s="151">
        <v>154</v>
      </c>
      <c r="AE8" s="151">
        <v>161</v>
      </c>
      <c r="AF8" s="151">
        <v>166</v>
      </c>
      <c r="AG8" s="151">
        <v>172</v>
      </c>
      <c r="AH8" s="151">
        <v>183</v>
      </c>
      <c r="AI8" s="157">
        <v>999</v>
      </c>
      <c r="AJ8" s="157">
        <v>99</v>
      </c>
      <c r="AK8" s="157">
        <v>110</v>
      </c>
      <c r="AL8" s="157">
        <v>122</v>
      </c>
      <c r="AM8" s="157">
        <v>129</v>
      </c>
      <c r="AN8" s="157">
        <v>139</v>
      </c>
      <c r="AO8" s="157">
        <v>146</v>
      </c>
      <c r="AP8" s="157">
        <v>158</v>
      </c>
      <c r="AQ8" s="157">
        <v>183</v>
      </c>
      <c r="AR8" s="158">
        <v>134</v>
      </c>
      <c r="AS8" s="158">
        <v>149</v>
      </c>
      <c r="AT8" s="158">
        <v>157</v>
      </c>
      <c r="AU8" s="158">
        <v>170</v>
      </c>
      <c r="AV8" s="158">
        <v>179</v>
      </c>
      <c r="AW8" s="158">
        <v>193</v>
      </c>
      <c r="AX8" s="158">
        <v>196</v>
      </c>
      <c r="AY8" s="158">
        <v>211</v>
      </c>
      <c r="AZ8" s="159">
        <v>176</v>
      </c>
      <c r="BA8" s="159">
        <v>186</v>
      </c>
      <c r="BB8" s="159">
        <v>201</v>
      </c>
      <c r="BC8" s="159">
        <v>211</v>
      </c>
      <c r="BD8" s="159">
        <v>228</v>
      </c>
      <c r="BE8" s="159">
        <v>231</v>
      </c>
      <c r="BF8" s="159">
        <v>241</v>
      </c>
      <c r="BG8" s="159">
        <v>257</v>
      </c>
      <c r="BH8" s="160">
        <v>198</v>
      </c>
      <c r="BI8" s="160">
        <v>209</v>
      </c>
      <c r="BJ8" s="160">
        <v>226</v>
      </c>
      <c r="BK8" s="160">
        <v>237</v>
      </c>
      <c r="BL8" s="160">
        <v>256</v>
      </c>
      <c r="BM8" s="160">
        <v>260</v>
      </c>
      <c r="BN8" s="160">
        <v>271</v>
      </c>
      <c r="BO8" s="160">
        <v>288</v>
      </c>
    </row>
    <row r="9" spans="1:68">
      <c r="B9" s="147" t="s">
        <v>20</v>
      </c>
      <c r="C9" s="148">
        <v>77</v>
      </c>
      <c r="D9" s="148">
        <v>86</v>
      </c>
      <c r="E9" s="148">
        <v>96</v>
      </c>
      <c r="F9" s="148">
        <v>101</v>
      </c>
      <c r="G9" s="148">
        <v>112</v>
      </c>
      <c r="H9" s="148">
        <v>116</v>
      </c>
      <c r="I9" s="148">
        <v>121</v>
      </c>
      <c r="J9" s="148">
        <v>138</v>
      </c>
      <c r="K9" s="149">
        <v>102</v>
      </c>
      <c r="L9" s="149">
        <v>113</v>
      </c>
      <c r="M9" s="149">
        <v>120</v>
      </c>
      <c r="N9" s="149">
        <v>132</v>
      </c>
      <c r="O9" s="149">
        <v>137</v>
      </c>
      <c r="P9" s="149">
        <v>143</v>
      </c>
      <c r="Q9" s="149">
        <v>148</v>
      </c>
      <c r="R9" s="149">
        <v>158</v>
      </c>
      <c r="S9" s="150">
        <v>131</v>
      </c>
      <c r="T9" s="150">
        <v>138</v>
      </c>
      <c r="U9" s="150">
        <v>152</v>
      </c>
      <c r="V9" s="150">
        <v>158</v>
      </c>
      <c r="W9" s="150">
        <v>165</v>
      </c>
      <c r="X9" s="150">
        <v>171</v>
      </c>
      <c r="Y9" s="150">
        <v>188</v>
      </c>
      <c r="Z9" s="150">
        <v>188</v>
      </c>
      <c r="AA9" s="151">
        <v>139</v>
      </c>
      <c r="AB9" s="151">
        <v>147</v>
      </c>
      <c r="AC9" s="151">
        <v>162</v>
      </c>
      <c r="AD9" s="151">
        <v>169</v>
      </c>
      <c r="AE9" s="151">
        <v>176</v>
      </c>
      <c r="AF9" s="151">
        <v>182</v>
      </c>
      <c r="AG9" s="151">
        <v>188</v>
      </c>
      <c r="AH9" s="151">
        <v>200</v>
      </c>
      <c r="AI9" s="157">
        <v>999</v>
      </c>
      <c r="AJ9" s="157">
        <v>121</v>
      </c>
      <c r="AK9" s="157">
        <v>134</v>
      </c>
      <c r="AL9" s="157">
        <v>149</v>
      </c>
      <c r="AM9" s="157">
        <v>157</v>
      </c>
      <c r="AN9" s="157">
        <v>170</v>
      </c>
      <c r="AO9" s="157">
        <v>179</v>
      </c>
      <c r="AP9" s="157">
        <v>193</v>
      </c>
      <c r="AQ9" s="157">
        <v>216</v>
      </c>
      <c r="AR9" s="158">
        <v>158</v>
      </c>
      <c r="AS9" s="158">
        <v>176</v>
      </c>
      <c r="AT9" s="158">
        <v>186</v>
      </c>
      <c r="AU9" s="158">
        <v>201</v>
      </c>
      <c r="AV9" s="158">
        <v>211</v>
      </c>
      <c r="AW9" s="158">
        <v>228</v>
      </c>
      <c r="AX9" s="158">
        <v>231</v>
      </c>
      <c r="AY9" s="158">
        <v>249</v>
      </c>
      <c r="AZ9" s="159">
        <v>203</v>
      </c>
      <c r="BA9" s="159">
        <v>215</v>
      </c>
      <c r="BB9" s="159">
        <v>232</v>
      </c>
      <c r="BC9" s="159">
        <v>244</v>
      </c>
      <c r="BD9" s="159">
        <v>263</v>
      </c>
      <c r="BE9" s="159">
        <v>267</v>
      </c>
      <c r="BF9" s="159">
        <v>278</v>
      </c>
      <c r="BG9" s="159">
        <v>296</v>
      </c>
      <c r="BH9" s="160">
        <v>217</v>
      </c>
      <c r="BI9" s="160">
        <v>229</v>
      </c>
      <c r="BJ9" s="160">
        <v>247</v>
      </c>
      <c r="BK9" s="160">
        <v>260</v>
      </c>
      <c r="BL9" s="160">
        <v>280</v>
      </c>
      <c r="BM9" s="160">
        <v>285</v>
      </c>
      <c r="BN9" s="160">
        <v>297</v>
      </c>
      <c r="BO9" s="160">
        <v>316</v>
      </c>
    </row>
    <row r="10" spans="1:68">
      <c r="B10" s="147" t="s">
        <v>126</v>
      </c>
      <c r="C10" s="148">
        <v>95</v>
      </c>
      <c r="D10" s="148">
        <v>105</v>
      </c>
      <c r="E10" s="148">
        <v>117</v>
      </c>
      <c r="F10" s="148">
        <v>123</v>
      </c>
      <c r="G10" s="148">
        <v>136</v>
      </c>
      <c r="H10" s="148">
        <v>141</v>
      </c>
      <c r="I10" s="148">
        <v>147</v>
      </c>
      <c r="J10" s="148">
        <v>159</v>
      </c>
      <c r="K10" s="149">
        <v>118</v>
      </c>
      <c r="L10" s="149">
        <v>131</v>
      </c>
      <c r="M10" s="149">
        <v>138</v>
      </c>
      <c r="N10" s="149">
        <v>152</v>
      </c>
      <c r="O10" s="149">
        <v>158</v>
      </c>
      <c r="P10" s="149">
        <v>165</v>
      </c>
      <c r="Q10" s="149">
        <v>171</v>
      </c>
      <c r="R10" s="149">
        <v>182</v>
      </c>
      <c r="S10" s="150">
        <v>151</v>
      </c>
      <c r="T10" s="150">
        <v>160</v>
      </c>
      <c r="U10" s="150">
        <v>177</v>
      </c>
      <c r="V10" s="150">
        <v>184</v>
      </c>
      <c r="W10" s="150">
        <v>191</v>
      </c>
      <c r="X10" s="150">
        <v>198</v>
      </c>
      <c r="Y10" s="150">
        <v>218</v>
      </c>
      <c r="Z10" s="150">
        <v>218</v>
      </c>
      <c r="AA10" s="151">
        <v>169</v>
      </c>
      <c r="AB10" s="151">
        <v>178</v>
      </c>
      <c r="AC10" s="151">
        <v>197</v>
      </c>
      <c r="AD10" s="151">
        <v>205</v>
      </c>
      <c r="AE10" s="151">
        <v>213</v>
      </c>
      <c r="AF10" s="151">
        <v>221</v>
      </c>
      <c r="AG10" s="151">
        <v>228</v>
      </c>
      <c r="AH10" s="151">
        <v>243</v>
      </c>
      <c r="AI10" s="152">
        <v>999</v>
      </c>
      <c r="AJ10" s="152">
        <v>148</v>
      </c>
      <c r="AK10" s="152">
        <v>164</v>
      </c>
      <c r="AL10" s="152">
        <v>182</v>
      </c>
      <c r="AM10" s="152">
        <v>192</v>
      </c>
      <c r="AN10" s="152">
        <v>207</v>
      </c>
      <c r="AO10" s="152">
        <v>218</v>
      </c>
      <c r="AP10" s="152">
        <v>235</v>
      </c>
      <c r="AQ10" s="152">
        <v>249</v>
      </c>
      <c r="AR10" s="161">
        <v>183</v>
      </c>
      <c r="AS10" s="161">
        <v>203</v>
      </c>
      <c r="AT10" s="161">
        <v>215</v>
      </c>
      <c r="AU10" s="161">
        <v>232</v>
      </c>
      <c r="AV10" s="161">
        <v>244</v>
      </c>
      <c r="AW10" s="161">
        <v>263</v>
      </c>
      <c r="AX10" s="161">
        <v>267</v>
      </c>
      <c r="AY10" s="161">
        <v>287</v>
      </c>
      <c r="AZ10" s="148">
        <v>236</v>
      </c>
      <c r="BA10" s="148">
        <v>249</v>
      </c>
      <c r="BB10" s="148">
        <v>269</v>
      </c>
      <c r="BC10" s="148">
        <v>283</v>
      </c>
      <c r="BD10" s="148">
        <v>305</v>
      </c>
      <c r="BE10" s="148">
        <v>310</v>
      </c>
      <c r="BF10" s="148">
        <v>323</v>
      </c>
      <c r="BG10" s="148">
        <v>344</v>
      </c>
      <c r="BH10" s="149">
        <v>263</v>
      </c>
      <c r="BI10" s="149">
        <v>277</v>
      </c>
      <c r="BJ10" s="149">
        <v>300</v>
      </c>
      <c r="BK10" s="149">
        <v>315</v>
      </c>
      <c r="BL10" s="149">
        <v>340</v>
      </c>
      <c r="BM10" s="149">
        <v>345</v>
      </c>
      <c r="BN10" s="149">
        <v>360</v>
      </c>
      <c r="BO10" s="149">
        <v>383</v>
      </c>
    </row>
    <row r="11" spans="1:68">
      <c r="B11" s="147" t="s">
        <v>127</v>
      </c>
      <c r="C11" s="148">
        <v>101</v>
      </c>
      <c r="D11" s="148">
        <v>112</v>
      </c>
      <c r="E11" s="148">
        <v>124</v>
      </c>
      <c r="F11" s="148">
        <v>131</v>
      </c>
      <c r="G11" s="148">
        <v>144</v>
      </c>
      <c r="H11" s="148">
        <v>150</v>
      </c>
      <c r="I11" s="148">
        <v>156</v>
      </c>
      <c r="J11" s="148">
        <v>169</v>
      </c>
      <c r="K11" s="149">
        <v>125</v>
      </c>
      <c r="L11" s="149">
        <v>139</v>
      </c>
      <c r="M11" s="149">
        <v>147</v>
      </c>
      <c r="N11" s="149">
        <v>162</v>
      </c>
      <c r="O11" s="149">
        <v>169</v>
      </c>
      <c r="P11" s="149">
        <v>176</v>
      </c>
      <c r="Q11" s="149">
        <v>182</v>
      </c>
      <c r="R11" s="149">
        <v>194</v>
      </c>
      <c r="S11" s="150">
        <v>157</v>
      </c>
      <c r="T11" s="150">
        <v>166</v>
      </c>
      <c r="U11" s="150">
        <v>183</v>
      </c>
      <c r="V11" s="150">
        <v>190</v>
      </c>
      <c r="W11" s="150">
        <v>198</v>
      </c>
      <c r="X11" s="150">
        <v>205</v>
      </c>
      <c r="Y11" s="150">
        <v>225</v>
      </c>
      <c r="Z11" s="150">
        <v>225</v>
      </c>
      <c r="AA11" s="151">
        <v>174</v>
      </c>
      <c r="AB11" s="151">
        <v>184</v>
      </c>
      <c r="AC11" s="151">
        <v>203</v>
      </c>
      <c r="AD11" s="151">
        <v>211</v>
      </c>
      <c r="AE11" s="151">
        <v>220</v>
      </c>
      <c r="AF11" s="151">
        <v>228</v>
      </c>
      <c r="AG11" s="151">
        <v>235</v>
      </c>
      <c r="AH11" s="151">
        <v>250</v>
      </c>
      <c r="AI11" s="152">
        <v>999</v>
      </c>
      <c r="AJ11" s="152">
        <v>156</v>
      </c>
      <c r="AK11" s="152">
        <v>173</v>
      </c>
      <c r="AL11" s="152">
        <v>192</v>
      </c>
      <c r="AM11" s="152">
        <v>203</v>
      </c>
      <c r="AN11" s="152">
        <v>219</v>
      </c>
      <c r="AO11" s="152">
        <v>231</v>
      </c>
      <c r="AP11" s="152">
        <v>249</v>
      </c>
      <c r="AQ11" s="152">
        <v>266</v>
      </c>
      <c r="AR11" s="161">
        <v>195</v>
      </c>
      <c r="AS11" s="161">
        <v>217</v>
      </c>
      <c r="AT11" s="161">
        <v>229</v>
      </c>
      <c r="AU11" s="161">
        <v>247</v>
      </c>
      <c r="AV11" s="161">
        <v>260</v>
      </c>
      <c r="AW11" s="161">
        <v>280</v>
      </c>
      <c r="AX11" s="161">
        <v>285</v>
      </c>
      <c r="AY11" s="161">
        <v>306</v>
      </c>
      <c r="AZ11" s="148">
        <v>244</v>
      </c>
      <c r="BA11" s="148">
        <v>257</v>
      </c>
      <c r="BB11" s="148">
        <v>278</v>
      </c>
      <c r="BC11" s="148">
        <v>293</v>
      </c>
      <c r="BD11" s="148">
        <v>315</v>
      </c>
      <c r="BE11" s="148">
        <v>320</v>
      </c>
      <c r="BF11" s="148">
        <v>334</v>
      </c>
      <c r="BG11" s="148">
        <v>356</v>
      </c>
      <c r="BH11" s="149">
        <v>271</v>
      </c>
      <c r="BI11" s="149">
        <v>286</v>
      </c>
      <c r="BJ11" s="149">
        <v>309</v>
      </c>
      <c r="BK11" s="149">
        <v>325</v>
      </c>
      <c r="BL11" s="149">
        <v>350</v>
      </c>
      <c r="BM11" s="149">
        <v>356</v>
      </c>
      <c r="BN11" s="149">
        <v>371</v>
      </c>
      <c r="BO11" s="149">
        <v>395</v>
      </c>
    </row>
    <row r="12" spans="1:68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162"/>
    </row>
    <row r="14" spans="1:68">
      <c r="BG14" s="33"/>
      <c r="BH14" s="33"/>
      <c r="BI14" s="33"/>
      <c r="BJ14" s="33"/>
      <c r="BK14" s="33"/>
      <c r="BL14" s="33"/>
      <c r="BM14" s="33"/>
      <c r="BN14" s="33"/>
    </row>
    <row r="15" spans="1:68" ht="13.8">
      <c r="B15" s="140" t="s">
        <v>21</v>
      </c>
      <c r="C15" s="141" t="s">
        <v>22</v>
      </c>
      <c r="D15" s="141" t="s">
        <v>22</v>
      </c>
      <c r="E15" s="141" t="s">
        <v>23</v>
      </c>
      <c r="F15" s="141" t="s">
        <v>24</v>
      </c>
      <c r="H15" s="142" t="s">
        <v>21</v>
      </c>
      <c r="I15" s="143" t="s">
        <v>25</v>
      </c>
      <c r="J15" s="143" t="s">
        <v>25</v>
      </c>
      <c r="K15" s="143" t="s">
        <v>23</v>
      </c>
      <c r="L15" s="143" t="s">
        <v>24</v>
      </c>
      <c r="M15" s="142"/>
      <c r="N15" s="26"/>
      <c r="O15" s="26"/>
      <c r="P15" s="26"/>
      <c r="Q15" s="26"/>
      <c r="R15" s="26"/>
      <c r="S15" s="26"/>
      <c r="T15" s="26"/>
      <c r="U15" s="26"/>
    </row>
    <row r="16" spans="1:68">
      <c r="A16" s="144">
        <v>10</v>
      </c>
      <c r="B16" s="145" t="s">
        <v>26</v>
      </c>
      <c r="C16" s="141" t="s">
        <v>61</v>
      </c>
      <c r="D16" s="141" t="s">
        <v>62</v>
      </c>
      <c r="E16" s="141" t="s">
        <v>63</v>
      </c>
      <c r="F16" s="141" t="s">
        <v>64</v>
      </c>
      <c r="G16" s="144">
        <v>10</v>
      </c>
      <c r="H16" s="145" t="s">
        <v>26</v>
      </c>
      <c r="I16" s="143" t="s">
        <v>39</v>
      </c>
      <c r="J16" s="143" t="s">
        <v>65</v>
      </c>
      <c r="K16" s="143" t="s">
        <v>66</v>
      </c>
      <c r="L16" s="143" t="s">
        <v>67</v>
      </c>
      <c r="M16" s="142"/>
      <c r="R16" s="27"/>
      <c r="S16" s="27"/>
      <c r="T16" s="26"/>
      <c r="U16" s="26"/>
    </row>
    <row r="17" spans="1:59" ht="13.8">
      <c r="A17" s="144">
        <v>47.01</v>
      </c>
      <c r="B17" s="145" t="s">
        <v>26</v>
      </c>
      <c r="C17" s="141" t="s">
        <v>68</v>
      </c>
      <c r="D17" s="141" t="s">
        <v>62</v>
      </c>
      <c r="E17" s="141" t="s">
        <v>63</v>
      </c>
      <c r="F17" s="141" t="s">
        <v>64</v>
      </c>
      <c r="G17" s="140">
        <v>40.01</v>
      </c>
      <c r="H17" s="145" t="s">
        <v>26</v>
      </c>
      <c r="I17" s="143" t="s">
        <v>69</v>
      </c>
      <c r="J17" s="143" t="s">
        <v>65</v>
      </c>
      <c r="K17" s="143" t="s">
        <v>66</v>
      </c>
      <c r="L17" s="143" t="s">
        <v>67</v>
      </c>
      <c r="M17" s="142"/>
      <c r="N17" s="38"/>
      <c r="O17" s="38"/>
      <c r="R17" s="27"/>
      <c r="S17" s="27"/>
      <c r="T17" s="26"/>
      <c r="U17" s="26"/>
      <c r="BG17" s="36"/>
    </row>
    <row r="18" spans="1:59">
      <c r="A18" s="144">
        <v>52.01</v>
      </c>
      <c r="B18" s="145" t="s">
        <v>26</v>
      </c>
      <c r="C18" s="141" t="s">
        <v>70</v>
      </c>
      <c r="D18" s="141" t="s">
        <v>62</v>
      </c>
      <c r="E18" s="141" t="s">
        <v>63</v>
      </c>
      <c r="F18" s="141" t="s">
        <v>64</v>
      </c>
      <c r="G18" s="146">
        <v>44.01</v>
      </c>
      <c r="H18" s="145" t="s">
        <v>26</v>
      </c>
      <c r="I18" s="143" t="s">
        <v>71</v>
      </c>
      <c r="J18" s="143" t="s">
        <v>72</v>
      </c>
      <c r="K18" s="143" t="s">
        <v>66</v>
      </c>
      <c r="L18" s="143" t="s">
        <v>67</v>
      </c>
      <c r="M18" s="142"/>
      <c r="R18" s="27"/>
      <c r="S18" s="27"/>
      <c r="T18" s="26"/>
      <c r="U18" s="26"/>
      <c r="AV18" s="25"/>
      <c r="AW18" s="25"/>
    </row>
    <row r="19" spans="1:59" ht="13.8">
      <c r="A19" s="144">
        <v>56.01</v>
      </c>
      <c r="B19" s="145" t="s">
        <v>26</v>
      </c>
      <c r="C19" s="141" t="s">
        <v>73</v>
      </c>
      <c r="D19" s="141" t="s">
        <v>74</v>
      </c>
      <c r="E19" s="141" t="s">
        <v>63</v>
      </c>
      <c r="F19" s="141" t="s">
        <v>64</v>
      </c>
      <c r="G19" s="140">
        <v>48.01</v>
      </c>
      <c r="H19" s="145" t="s">
        <v>26</v>
      </c>
      <c r="I19" s="143" t="s">
        <v>75</v>
      </c>
      <c r="J19" s="143" t="s">
        <v>76</v>
      </c>
      <c r="K19" s="143" t="s">
        <v>77</v>
      </c>
      <c r="L19" s="143" t="s">
        <v>78</v>
      </c>
      <c r="M19" s="142"/>
      <c r="R19" s="27"/>
      <c r="S19" s="27"/>
      <c r="T19" s="26"/>
      <c r="U19" s="26"/>
      <c r="AV19" s="25"/>
      <c r="AW19" s="25"/>
      <c r="BG19" s="36"/>
    </row>
    <row r="20" spans="1:59" ht="13.8">
      <c r="A20" s="144">
        <v>60.01</v>
      </c>
      <c r="B20" s="145" t="s">
        <v>26</v>
      </c>
      <c r="C20" s="141" t="s">
        <v>79</v>
      </c>
      <c r="D20" s="141" t="s">
        <v>80</v>
      </c>
      <c r="E20" s="141" t="s">
        <v>81</v>
      </c>
      <c r="F20" s="141" t="s">
        <v>82</v>
      </c>
      <c r="G20" s="140">
        <v>53.01</v>
      </c>
      <c r="H20" s="145" t="s">
        <v>26</v>
      </c>
      <c r="I20" s="143" t="s">
        <v>83</v>
      </c>
      <c r="J20" s="143" t="s">
        <v>84</v>
      </c>
      <c r="K20" s="143" t="s">
        <v>85</v>
      </c>
      <c r="L20" s="143" t="s">
        <v>86</v>
      </c>
      <c r="M20" s="142"/>
      <c r="R20" s="27"/>
      <c r="S20" s="27"/>
      <c r="T20" s="26"/>
      <c r="U20" s="26"/>
    </row>
    <row r="21" spans="1:59" ht="13.8">
      <c r="A21" s="144">
        <v>65.010000000000005</v>
      </c>
      <c r="B21" s="145" t="s">
        <v>26</v>
      </c>
      <c r="C21" s="141" t="s">
        <v>87</v>
      </c>
      <c r="D21" s="141" t="s">
        <v>88</v>
      </c>
      <c r="E21" s="141" t="s">
        <v>89</v>
      </c>
      <c r="F21" s="141" t="s">
        <v>90</v>
      </c>
      <c r="G21" s="140">
        <v>58.01</v>
      </c>
      <c r="H21" s="145" t="s">
        <v>26</v>
      </c>
      <c r="I21" s="143" t="s">
        <v>91</v>
      </c>
      <c r="J21" s="143" t="s">
        <v>92</v>
      </c>
      <c r="K21" s="143" t="s">
        <v>93</v>
      </c>
      <c r="L21" s="143" t="s">
        <v>94</v>
      </c>
      <c r="M21" s="142"/>
      <c r="R21" s="27"/>
      <c r="S21" s="27"/>
      <c r="T21" s="26"/>
      <c r="U21" s="26"/>
      <c r="BG21" s="36"/>
    </row>
    <row r="22" spans="1:59" ht="13.8">
      <c r="A22" s="144">
        <v>71.010000000000005</v>
      </c>
      <c r="B22" s="145" t="s">
        <v>26</v>
      </c>
      <c r="C22" s="141" t="s">
        <v>95</v>
      </c>
      <c r="D22" s="141" t="s">
        <v>96</v>
      </c>
      <c r="E22" s="141" t="s">
        <v>97</v>
      </c>
      <c r="F22" s="141" t="s">
        <v>98</v>
      </c>
      <c r="G22" s="140">
        <v>63.01</v>
      </c>
      <c r="H22" s="145" t="s">
        <v>26</v>
      </c>
      <c r="I22" s="143" t="s">
        <v>99</v>
      </c>
      <c r="J22" s="143" t="s">
        <v>100</v>
      </c>
      <c r="K22" s="143" t="s">
        <v>101</v>
      </c>
      <c r="L22" s="143" t="s">
        <v>102</v>
      </c>
      <c r="M22" s="142"/>
      <c r="R22" s="27"/>
      <c r="S22" s="27"/>
      <c r="T22" s="26"/>
      <c r="U22" s="26"/>
    </row>
    <row r="23" spans="1:59" ht="13.8">
      <c r="A23" s="144">
        <v>79.010000000000005</v>
      </c>
      <c r="B23" s="145" t="s">
        <v>26</v>
      </c>
      <c r="C23" s="141" t="s">
        <v>103</v>
      </c>
      <c r="D23" s="141" t="s">
        <v>104</v>
      </c>
      <c r="E23" s="141" t="s">
        <v>105</v>
      </c>
      <c r="F23" s="141" t="s">
        <v>106</v>
      </c>
      <c r="G23" s="140">
        <v>69.010000000000005</v>
      </c>
      <c r="H23" s="145" t="s">
        <v>26</v>
      </c>
      <c r="I23" s="143" t="s">
        <v>107</v>
      </c>
      <c r="J23" s="143" t="s">
        <v>108</v>
      </c>
      <c r="K23" s="143" t="s">
        <v>109</v>
      </c>
      <c r="L23" s="143" t="s">
        <v>110</v>
      </c>
      <c r="M23" s="142"/>
      <c r="R23" s="27"/>
      <c r="S23" s="27"/>
      <c r="T23" s="26"/>
      <c r="U23" s="26"/>
      <c r="BG23" s="36"/>
    </row>
    <row r="24" spans="1:59" ht="13.8">
      <c r="A24" s="144">
        <v>88.01</v>
      </c>
      <c r="B24" s="145" t="s">
        <v>26</v>
      </c>
      <c r="C24" s="141" t="s">
        <v>111</v>
      </c>
      <c r="D24" s="141" t="s">
        <v>112</v>
      </c>
      <c r="E24" s="141" t="s">
        <v>113</v>
      </c>
      <c r="F24" s="141" t="s">
        <v>114</v>
      </c>
      <c r="G24" s="140">
        <v>77.010000000000005</v>
      </c>
      <c r="H24" s="145" t="s">
        <v>26</v>
      </c>
      <c r="I24" s="143" t="s">
        <v>107</v>
      </c>
      <c r="J24" s="143" t="s">
        <v>115</v>
      </c>
      <c r="K24" s="143" t="s">
        <v>116</v>
      </c>
      <c r="L24" s="143" t="s">
        <v>117</v>
      </c>
      <c r="M24" s="142"/>
      <c r="R24" s="27"/>
      <c r="S24" s="27"/>
      <c r="T24" s="26"/>
      <c r="U24" s="26"/>
    </row>
    <row r="25" spans="1:59" ht="13.8">
      <c r="A25" s="144">
        <v>94.01</v>
      </c>
      <c r="B25" s="145" t="s">
        <v>26</v>
      </c>
      <c r="C25" s="141" t="s">
        <v>111</v>
      </c>
      <c r="D25" s="141" t="s">
        <v>118</v>
      </c>
      <c r="E25" s="141" t="s">
        <v>119</v>
      </c>
      <c r="F25" s="141" t="s">
        <v>120</v>
      </c>
      <c r="G25" s="140">
        <v>86.01</v>
      </c>
      <c r="H25" s="145" t="s">
        <v>26</v>
      </c>
      <c r="I25" s="143" t="s">
        <v>107</v>
      </c>
      <c r="J25" s="143" t="s">
        <v>115</v>
      </c>
      <c r="K25" s="143" t="s">
        <v>121</v>
      </c>
      <c r="L25" s="143" t="s">
        <v>122</v>
      </c>
      <c r="M25" s="142"/>
      <c r="R25" s="27"/>
      <c r="S25" s="27"/>
      <c r="T25" s="26"/>
      <c r="U25" s="26"/>
      <c r="BG25" s="36"/>
    </row>
    <row r="26" spans="1:59">
      <c r="A26" s="144">
        <v>110.01</v>
      </c>
      <c r="B26" s="145" t="s">
        <v>26</v>
      </c>
      <c r="C26" s="141" t="s">
        <v>111</v>
      </c>
      <c r="D26" s="141" t="s">
        <v>118</v>
      </c>
      <c r="E26" s="141" t="s">
        <v>123</v>
      </c>
      <c r="F26" s="141" t="s">
        <v>124</v>
      </c>
      <c r="M26" s="142"/>
      <c r="R26" s="27"/>
      <c r="S26" s="27"/>
      <c r="T26" s="26"/>
      <c r="U26" s="26"/>
    </row>
    <row r="27" spans="1:59">
      <c r="R27" s="27"/>
      <c r="S27" s="27"/>
      <c r="T27" s="26"/>
      <c r="U27" s="26"/>
      <c r="BG27" s="36"/>
    </row>
    <row r="28" spans="1:59">
      <c r="P28" s="27"/>
      <c r="Q28" s="27"/>
      <c r="R28" s="27"/>
      <c r="S28" s="27"/>
      <c r="T28" s="26"/>
      <c r="U28" s="26"/>
    </row>
    <row r="29" spans="1:59">
      <c r="P29" s="27"/>
      <c r="Q29" s="27"/>
      <c r="R29" s="27"/>
      <c r="S29" s="27"/>
      <c r="T29" s="26"/>
      <c r="U29" s="26"/>
      <c r="AV29" s="25"/>
      <c r="AW29" s="25"/>
      <c r="BG29" s="36"/>
    </row>
    <row r="30" spans="1:59">
      <c r="M30" s="142"/>
      <c r="O30" s="27"/>
      <c r="P30" s="27"/>
      <c r="Q30" s="27"/>
      <c r="R30" s="27"/>
      <c r="S30" s="27"/>
      <c r="T30" s="26"/>
      <c r="U30" s="26"/>
    </row>
    <row r="31" spans="1:59">
      <c r="S31" s="27"/>
      <c r="T31" s="26"/>
      <c r="U31" s="26"/>
      <c r="BG31" s="36"/>
    </row>
    <row r="32" spans="1:59" ht="13.8">
      <c r="B32" s="140" t="s">
        <v>46</v>
      </c>
      <c r="C32" s="141" t="s">
        <v>48</v>
      </c>
      <c r="D32" s="141" t="s">
        <v>47</v>
      </c>
      <c r="S32" s="27"/>
      <c r="T32" s="26"/>
      <c r="U32" s="26"/>
    </row>
    <row r="33" spans="2:59" ht="13.8">
      <c r="B33" s="140" t="s">
        <v>49</v>
      </c>
      <c r="C33" s="141"/>
      <c r="D33" s="140">
        <v>2016</v>
      </c>
      <c r="S33" s="27"/>
      <c r="T33" s="26"/>
      <c r="U33" s="26"/>
    </row>
    <row r="34" spans="2:59" ht="13.8">
      <c r="B34" s="140" t="s">
        <v>41</v>
      </c>
      <c r="C34" s="140">
        <v>2013</v>
      </c>
      <c r="D34" s="140">
        <v>2015</v>
      </c>
      <c r="S34" s="27"/>
      <c r="T34" s="26"/>
      <c r="U34" s="26"/>
      <c r="BG34" s="36"/>
    </row>
    <row r="35" spans="2:59" ht="13.8">
      <c r="B35" s="140" t="s">
        <v>42</v>
      </c>
      <c r="C35" s="140">
        <v>2011</v>
      </c>
      <c r="D35" s="140">
        <v>2012</v>
      </c>
    </row>
    <row r="36" spans="2:59" ht="13.8">
      <c r="B36" s="140" t="s">
        <v>43</v>
      </c>
      <c r="C36" s="140">
        <v>2009</v>
      </c>
      <c r="D36" s="140">
        <v>2010</v>
      </c>
      <c r="BG36" s="36"/>
    </row>
    <row r="37" spans="2:59" ht="13.8">
      <c r="B37" s="140" t="s">
        <v>44</v>
      </c>
      <c r="C37" s="140">
        <v>2006</v>
      </c>
      <c r="D37" s="140">
        <v>2008</v>
      </c>
    </row>
    <row r="38" spans="2:59" ht="13.8">
      <c r="B38" s="140" t="s">
        <v>45</v>
      </c>
      <c r="C38" s="140">
        <v>2005</v>
      </c>
      <c r="BG38" s="36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13</vt:i4>
      </vt:variant>
    </vt:vector>
  </HeadingPairs>
  <TitlesOfParts>
    <vt:vector size="17" baseType="lpstr">
      <vt:lpstr>3 EQUIPES </vt:lpstr>
      <vt:lpstr>4 EQUIPES  </vt:lpstr>
      <vt:lpstr>5 EQUIPES</vt:lpstr>
      <vt:lpstr>Minimas</vt:lpstr>
      <vt:lpstr>SENIORS_Min</vt:lpstr>
      <vt:lpstr>U10_Max</vt:lpstr>
      <vt:lpstr>U13_Max</vt:lpstr>
      <vt:lpstr>U13_Min</vt:lpstr>
      <vt:lpstr>U15_Max</vt:lpstr>
      <vt:lpstr>U15_Min</vt:lpstr>
      <vt:lpstr>U17_Max</vt:lpstr>
      <vt:lpstr>U17_Min</vt:lpstr>
      <vt:lpstr>U20_Max</vt:lpstr>
      <vt:lpstr>U20_Min</vt:lpstr>
      <vt:lpstr>'3 EQUIPES '!Zone_d_impression</vt:lpstr>
      <vt:lpstr>'4 EQUIPES  '!Zone_d_impression</vt:lpstr>
      <vt:lpstr>'5 EQUIPES'!Zone_d_impression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MENONI Daniel</dc:creator>
  <cp:lastModifiedBy>MENONI Daniel</cp:lastModifiedBy>
  <cp:lastPrinted>2024-11-14T11:27:26Z</cp:lastPrinted>
  <dcterms:created xsi:type="dcterms:W3CDTF">2004-10-09T07:29:01Z</dcterms:created>
  <dcterms:modified xsi:type="dcterms:W3CDTF">2025-10-15T13:06:12Z</dcterms:modified>
</cp:coreProperties>
</file>