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59456a41f9a331/"/>
    </mc:Choice>
  </mc:AlternateContent>
  <xr:revisionPtr revIDLastSave="0" documentId="8_{0477DC99-BC21-4637-A7F7-98F6D2EDB1A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QUIPES" sheetId="3" r:id="rId1"/>
    <sheet name="Minimas" sheetId="4" state="hidden" r:id="rId2"/>
  </sheets>
  <definedNames>
    <definedName name="SENIORS_Min">Minimas!$C$38</definedName>
    <definedName name="U10_Max">Minimas!$D$33</definedName>
    <definedName name="U13_Max">Minimas!$D$34</definedName>
    <definedName name="U13_Min">Minimas!$C$34</definedName>
    <definedName name="U15_Max">Minimas!$D$35</definedName>
    <definedName name="U15_Min">Minimas!$C$35</definedName>
    <definedName name="U17_Max">Minimas!$D$36</definedName>
    <definedName name="U17_Min">Minimas!$C$36</definedName>
    <definedName name="U20_Max">Minimas!$D$37</definedName>
    <definedName name="U20_Min">Minimas!$C$37</definedName>
    <definedName name="_xlnm.Print_Area" localSheetId="0">EQUIPES!$A$1:$W$42</definedName>
  </definedNames>
  <calcPr calcId="191029"/>
</workbook>
</file>

<file path=xl/calcChain.xml><?xml version="1.0" encoding="utf-8"?>
<calcChain xmlns="http://schemas.openxmlformats.org/spreadsheetml/2006/main">
  <c r="Y9" i="3" l="1"/>
  <c r="N17" i="3" l="1"/>
  <c r="N16" i="3"/>
  <c r="N15" i="3"/>
  <c r="N14" i="3"/>
  <c r="N13" i="3"/>
  <c r="U29" i="3"/>
  <c r="R29" i="3"/>
  <c r="N29" i="3"/>
  <c r="S29" i="3" s="1"/>
  <c r="U28" i="3"/>
  <c r="R28" i="3"/>
  <c r="N28" i="3"/>
  <c r="U27" i="3"/>
  <c r="R27" i="3"/>
  <c r="N27" i="3"/>
  <c r="U26" i="3"/>
  <c r="R26" i="3"/>
  <c r="N26" i="3"/>
  <c r="U25" i="3"/>
  <c r="R25" i="3"/>
  <c r="S25" i="3" s="1"/>
  <c r="N25" i="3"/>
  <c r="U23" i="3"/>
  <c r="R23" i="3"/>
  <c r="N23" i="3"/>
  <c r="S23" i="3" s="1"/>
  <c r="U22" i="3"/>
  <c r="S22" i="3"/>
  <c r="R22" i="3"/>
  <c r="N22" i="3"/>
  <c r="U21" i="3"/>
  <c r="R21" i="3"/>
  <c r="S21" i="3" s="1"/>
  <c r="N21" i="3"/>
  <c r="U20" i="3"/>
  <c r="R20" i="3"/>
  <c r="N20" i="3"/>
  <c r="S20" i="3" s="1"/>
  <c r="U19" i="3"/>
  <c r="R19" i="3"/>
  <c r="N19" i="3"/>
  <c r="S19" i="3" s="1"/>
  <c r="AI25" i="3" l="1"/>
  <c r="AC22" i="3"/>
  <c r="S27" i="3"/>
  <c r="V27" i="3" s="1"/>
  <c r="S28" i="3"/>
  <c r="AG28" i="3" s="1"/>
  <c r="S26" i="3"/>
  <c r="V26" i="3" s="1"/>
  <c r="AD25" i="3"/>
  <c r="V25" i="3"/>
  <c r="AG26" i="3"/>
  <c r="AD29" i="3"/>
  <c r="V29" i="3"/>
  <c r="V28" i="3"/>
  <c r="AB28" i="3"/>
  <c r="AA25" i="3"/>
  <c r="AF25" i="3"/>
  <c r="AB27" i="3"/>
  <c r="AD26" i="3"/>
  <c r="AG29" i="3"/>
  <c r="AI19" i="3"/>
  <c r="V19" i="3"/>
  <c r="AI23" i="3"/>
  <c r="V23" i="3"/>
  <c r="AD23" i="3"/>
  <c r="AG20" i="3"/>
  <c r="V20" i="3"/>
  <c r="AF21" i="3"/>
  <c r="V21" i="3"/>
  <c r="V22" i="3"/>
  <c r="AD19" i="3"/>
  <c r="AD20" i="3"/>
  <c r="AB19" i="3"/>
  <c r="AB20" i="3"/>
  <c r="AH20" i="3"/>
  <c r="AD22" i="3"/>
  <c r="AC21" i="3"/>
  <c r="AF22" i="3"/>
  <c r="AB23" i="3"/>
  <c r="AG21" i="3"/>
  <c r="AC19" i="3"/>
  <c r="AA20" i="3"/>
  <c r="AI20" i="3"/>
  <c r="AH21" i="3"/>
  <c r="AE22" i="3"/>
  <c r="AC23" i="3"/>
  <c r="AE19" i="3"/>
  <c r="AC20" i="3"/>
  <c r="AB21" i="3"/>
  <c r="AG22" i="3"/>
  <c r="AE23" i="3"/>
  <c r="AA21" i="3"/>
  <c r="AH22" i="3"/>
  <c r="AF23" i="3"/>
  <c r="AI21" i="3"/>
  <c r="AG19" i="3"/>
  <c r="AE20" i="3"/>
  <c r="AD21" i="3"/>
  <c r="AA22" i="3"/>
  <c r="AI22" i="3"/>
  <c r="AG23" i="3"/>
  <c r="AH19" i="3"/>
  <c r="AF20" i="3"/>
  <c r="AE21" i="3"/>
  <c r="AB22" i="3"/>
  <c r="AH23" i="3"/>
  <c r="AF19" i="3"/>
  <c r="AA19" i="3"/>
  <c r="AA23" i="3"/>
  <c r="AG25" i="3"/>
  <c r="AE26" i="3"/>
  <c r="AC27" i="3"/>
  <c r="AH28" i="3"/>
  <c r="AE29" i="3"/>
  <c r="AH25" i="3"/>
  <c r="AD27" i="3"/>
  <c r="AA28" i="3"/>
  <c r="AI28" i="3"/>
  <c r="AF29" i="3"/>
  <c r="AH26" i="3"/>
  <c r="AF27" i="3"/>
  <c r="AC28" i="3"/>
  <c r="AH29" i="3"/>
  <c r="AB25" i="3"/>
  <c r="AC25" i="3"/>
  <c r="AA26" i="3"/>
  <c r="AI26" i="3"/>
  <c r="AG27" i="3"/>
  <c r="AD28" i="3"/>
  <c r="AA29" i="3"/>
  <c r="AI29" i="3"/>
  <c r="AH27" i="3"/>
  <c r="AE28" i="3"/>
  <c r="AB29" i="3"/>
  <c r="AE27" i="3"/>
  <c r="AB26" i="3"/>
  <c r="AE25" i="3"/>
  <c r="AC26" i="3"/>
  <c r="AA27" i="3"/>
  <c r="AI27" i="3"/>
  <c r="AF28" i="3"/>
  <c r="AC29" i="3"/>
  <c r="H28" i="3" l="1"/>
  <c r="Y11" i="3" s="1"/>
  <c r="H23" i="3"/>
  <c r="AF26" i="3"/>
  <c r="AJ26" i="3" s="1"/>
  <c r="AL26" i="3" s="1"/>
  <c r="AM25" i="3"/>
  <c r="AJ25" i="3"/>
  <c r="AL25" i="3" s="1"/>
  <c r="T25" i="3" s="1"/>
  <c r="H29" i="3"/>
  <c r="AM27" i="3"/>
  <c r="AJ27" i="3"/>
  <c r="AL27" i="3" s="1"/>
  <c r="AM29" i="3"/>
  <c r="AJ29" i="3"/>
  <c r="AL29" i="3" s="1"/>
  <c r="AM28" i="3"/>
  <c r="AJ28" i="3"/>
  <c r="AL28" i="3" s="1"/>
  <c r="AJ21" i="3"/>
  <c r="AL21" i="3" s="1"/>
  <c r="T21" i="3" s="1"/>
  <c r="AM21" i="3"/>
  <c r="AM22" i="3"/>
  <c r="AJ22" i="3"/>
  <c r="AL22" i="3" s="1"/>
  <c r="AM23" i="3"/>
  <c r="AJ23" i="3"/>
  <c r="AL23" i="3" s="1"/>
  <c r="T23" i="3" s="1"/>
  <c r="AM20" i="3"/>
  <c r="AJ20" i="3"/>
  <c r="AL20" i="3" s="1"/>
  <c r="T20" i="3" s="1"/>
  <c r="H22" i="3"/>
  <c r="AM19" i="3"/>
  <c r="AJ19" i="3"/>
  <c r="AL19" i="3" s="1"/>
  <c r="T19" i="3" s="1"/>
  <c r="Y10" i="3" l="1"/>
  <c r="T28" i="3"/>
  <c r="AM26" i="3"/>
  <c r="T26" i="3" s="1"/>
  <c r="T29" i="3"/>
  <c r="T27" i="3"/>
  <c r="T22" i="3"/>
  <c r="U7" i="3" l="1"/>
  <c r="U8" i="3"/>
  <c r="U9" i="3"/>
  <c r="U10" i="3"/>
  <c r="U11" i="3"/>
  <c r="U13" i="3"/>
  <c r="U14" i="3"/>
  <c r="U15" i="3"/>
  <c r="U16" i="3"/>
  <c r="U17" i="3"/>
  <c r="U31" i="3"/>
  <c r="U32" i="3"/>
  <c r="U33" i="3"/>
  <c r="U34" i="3"/>
  <c r="U35" i="3"/>
  <c r="R8" i="3" l="1"/>
  <c r="N8" i="3"/>
  <c r="S8" i="3" l="1"/>
  <c r="V8" i="3" s="1"/>
  <c r="N31" i="3"/>
  <c r="N32" i="3"/>
  <c r="N33" i="3"/>
  <c r="AC8" i="3" l="1"/>
  <c r="AG8" i="3"/>
  <c r="AB8" i="3"/>
  <c r="AF8" i="3"/>
  <c r="AI8" i="3"/>
  <c r="AE8" i="3"/>
  <c r="AA8" i="3"/>
  <c r="AH8" i="3"/>
  <c r="AD8" i="3"/>
  <c r="R32" i="3"/>
  <c r="R14" i="3"/>
  <c r="S14" i="3" s="1"/>
  <c r="V14" i="3" s="1"/>
  <c r="R9" i="3"/>
  <c r="N9" i="3"/>
  <c r="AJ8" i="3" l="1"/>
  <c r="AL8" i="3" s="1"/>
  <c r="AM8" i="3"/>
  <c r="S32" i="3"/>
  <c r="V32" i="3" s="1"/>
  <c r="S9" i="3"/>
  <c r="V9" i="3" s="1"/>
  <c r="AG14" i="3"/>
  <c r="AC14" i="3"/>
  <c r="AF14" i="3"/>
  <c r="AB14" i="3"/>
  <c r="AI14" i="3"/>
  <c r="AE14" i="3"/>
  <c r="AA14" i="3"/>
  <c r="AH14" i="3"/>
  <c r="AD14" i="3"/>
  <c r="R31" i="3"/>
  <c r="AH32" i="3" l="1"/>
  <c r="AH9" i="3"/>
  <c r="T8" i="3"/>
  <c r="AI32" i="3"/>
  <c r="AB32" i="3"/>
  <c r="AC32" i="3"/>
  <c r="AF32" i="3"/>
  <c r="AG32" i="3"/>
  <c r="AA32" i="3"/>
  <c r="AD32" i="3"/>
  <c r="AE32" i="3"/>
  <c r="S31" i="3"/>
  <c r="V31" i="3" s="1"/>
  <c r="AB9" i="3"/>
  <c r="AC9" i="3"/>
  <c r="AF9" i="3"/>
  <c r="AA9" i="3"/>
  <c r="AD9" i="3"/>
  <c r="AE9" i="3"/>
  <c r="AJ14" i="3"/>
  <c r="AL14" i="3" s="1"/>
  <c r="AM14" i="3"/>
  <c r="AG9" i="3"/>
  <c r="AI9" i="3"/>
  <c r="AM32" i="3" l="1"/>
  <c r="AC31" i="3"/>
  <c r="T14" i="3"/>
  <c r="AJ32" i="3"/>
  <c r="AL32" i="3" s="1"/>
  <c r="T32" i="3" s="1"/>
  <c r="AM9" i="3"/>
  <c r="AJ9" i="3"/>
  <c r="AL9" i="3" s="1"/>
  <c r="T9" i="3" s="1"/>
  <c r="AB31" i="3"/>
  <c r="AH31" i="3"/>
  <c r="AF31" i="3"/>
  <c r="AA31" i="3"/>
  <c r="AE31" i="3"/>
  <c r="AD31" i="3"/>
  <c r="AI31" i="3"/>
  <c r="AG31" i="3"/>
  <c r="AJ31" i="3" l="1"/>
  <c r="AL31" i="3" s="1"/>
  <c r="AM31" i="3"/>
  <c r="T31" i="3" l="1"/>
  <c r="R13" i="3"/>
  <c r="R15" i="3"/>
  <c r="R16" i="3"/>
  <c r="R17" i="3"/>
  <c r="R33" i="3"/>
  <c r="R34" i="3"/>
  <c r="R35" i="3"/>
  <c r="S17" i="3"/>
  <c r="V17" i="3" s="1"/>
  <c r="N34" i="3"/>
  <c r="N35" i="3"/>
  <c r="S35" i="3" l="1"/>
  <c r="V35" i="3" s="1"/>
  <c r="S34" i="3"/>
  <c r="V34" i="3" s="1"/>
  <c r="S33" i="3"/>
  <c r="V33" i="3" s="1"/>
  <c r="S16" i="3"/>
  <c r="V16" i="3" s="1"/>
  <c r="S15" i="3"/>
  <c r="V15" i="3" s="1"/>
  <c r="S13" i="3"/>
  <c r="V13" i="3" s="1"/>
  <c r="R10" i="3"/>
  <c r="R11" i="3"/>
  <c r="N10" i="3"/>
  <c r="N11" i="3"/>
  <c r="AD34" i="3" l="1"/>
  <c r="AC33" i="3"/>
  <c r="AC34" i="3"/>
  <c r="AD35" i="3"/>
  <c r="AA15" i="3"/>
  <c r="AD16" i="3"/>
  <c r="AD13" i="3"/>
  <c r="AB15" i="3"/>
  <c r="AG34" i="3"/>
  <c r="AB34" i="3"/>
  <c r="AF34" i="3"/>
  <c r="AH34" i="3"/>
  <c r="AE15" i="3"/>
  <c r="AD33" i="3"/>
  <c r="AC13" i="3"/>
  <c r="AI33" i="3"/>
  <c r="AB33" i="3"/>
  <c r="AE33" i="3"/>
  <c r="AG33" i="3"/>
  <c r="AI15" i="3"/>
  <c r="AH15" i="3"/>
  <c r="AA35" i="3"/>
  <c r="AC35" i="3"/>
  <c r="AA33" i="3"/>
  <c r="AH35" i="3"/>
  <c r="AF35" i="3"/>
  <c r="AH33" i="3"/>
  <c r="AB35" i="3"/>
  <c r="AG35" i="3"/>
  <c r="AI35" i="3"/>
  <c r="AF33" i="3"/>
  <c r="AE35" i="3"/>
  <c r="AI13" i="3"/>
  <c r="AB13" i="3"/>
  <c r="AD15" i="3"/>
  <c r="AE13" i="3"/>
  <c r="AG15" i="3"/>
  <c r="AG16" i="3"/>
  <c r="AC15" i="3"/>
  <c r="AC16" i="3"/>
  <c r="AF13" i="3"/>
  <c r="AA13" i="3"/>
  <c r="AH13" i="3"/>
  <c r="AF15" i="3"/>
  <c r="AF16" i="3"/>
  <c r="AG13" i="3"/>
  <c r="S11" i="3"/>
  <c r="V11" i="3" s="1"/>
  <c r="AE16" i="3"/>
  <c r="AA16" i="3"/>
  <c r="AB16" i="3"/>
  <c r="AH16" i="3"/>
  <c r="AI16" i="3"/>
  <c r="AI34" i="3"/>
  <c r="AE34" i="3"/>
  <c r="AA34" i="3"/>
  <c r="S10" i="3"/>
  <c r="V10" i="3" s="1"/>
  <c r="AI17" i="3"/>
  <c r="AH17" i="3"/>
  <c r="AG17" i="3"/>
  <c r="AD17" i="3"/>
  <c r="AB17" i="3"/>
  <c r="AC17" i="3"/>
  <c r="AE17" i="3"/>
  <c r="AF17" i="3"/>
  <c r="AA17" i="3"/>
  <c r="R7" i="3"/>
  <c r="N7" i="3"/>
  <c r="AM33" i="3" l="1"/>
  <c r="AJ34" i="3"/>
  <c r="AL34" i="3" s="1"/>
  <c r="AJ33" i="3"/>
  <c r="AL33" i="3" s="1"/>
  <c r="T33" i="3" s="1"/>
  <c r="AJ17" i="3"/>
  <c r="AL17" i="3" s="1"/>
  <c r="AJ16" i="3"/>
  <c r="AL16" i="3" s="1"/>
  <c r="AM16" i="3"/>
  <c r="H35" i="3"/>
  <c r="H34" i="3"/>
  <c r="AM34" i="3"/>
  <c r="AJ15" i="3"/>
  <c r="AL15" i="3" s="1"/>
  <c r="H16" i="3"/>
  <c r="H17" i="3"/>
  <c r="AJ35" i="3"/>
  <c r="AL35" i="3" s="1"/>
  <c r="AJ13" i="3"/>
  <c r="AL13" i="3" s="1"/>
  <c r="AM13" i="3"/>
  <c r="AM15" i="3"/>
  <c r="AM35" i="3"/>
  <c r="AB10" i="3"/>
  <c r="AM17" i="3"/>
  <c r="S7" i="3"/>
  <c r="V7" i="3" s="1"/>
  <c r="AC10" i="3"/>
  <c r="AE10" i="3"/>
  <c r="AA10" i="3"/>
  <c r="AG10" i="3"/>
  <c r="AH10" i="3"/>
  <c r="AF10" i="3"/>
  <c r="AI10" i="3"/>
  <c r="AD10" i="3"/>
  <c r="AC11" i="3"/>
  <c r="AH11" i="3"/>
  <c r="AB11" i="3"/>
  <c r="AG11" i="3"/>
  <c r="AE11" i="3"/>
  <c r="AD11" i="3"/>
  <c r="AF11" i="3"/>
  <c r="AI11" i="3"/>
  <c r="AA11" i="3"/>
  <c r="Y13" i="3" l="1"/>
  <c r="Y12" i="3"/>
  <c r="D31" i="3"/>
  <c r="T34" i="3"/>
  <c r="T17" i="3"/>
  <c r="T16" i="3"/>
  <c r="T15" i="3"/>
  <c r="T13" i="3"/>
  <c r="T35" i="3"/>
  <c r="AA7" i="3"/>
  <c r="H11" i="3"/>
  <c r="AJ10" i="3"/>
  <c r="AL10" i="3" s="1"/>
  <c r="AJ11" i="3"/>
  <c r="AL11" i="3" s="1"/>
  <c r="AF7" i="3"/>
  <c r="AD7" i="3"/>
  <c r="AG7" i="3"/>
  <c r="AI7" i="3"/>
  <c r="AE7" i="3"/>
  <c r="AH7" i="3"/>
  <c r="AC7" i="3"/>
  <c r="AB7" i="3"/>
  <c r="AM11" i="3"/>
  <c r="AM10" i="3"/>
  <c r="D19" i="3" l="1"/>
  <c r="D13" i="3"/>
  <c r="D25" i="3"/>
  <c r="D7" i="3"/>
  <c r="T11" i="3"/>
  <c r="T10" i="3"/>
  <c r="H10" i="3"/>
  <c r="Y8" i="3" s="1"/>
  <c r="AJ7" i="3"/>
  <c r="AM7" i="3"/>
  <c r="AL7" i="3" l="1"/>
  <c r="T7" i="3" s="1"/>
</calcChain>
</file>

<file path=xl/sharedStrings.xml><?xml version="1.0" encoding="utf-8"?>
<sst xmlns="http://schemas.openxmlformats.org/spreadsheetml/2006/main" count="342" uniqueCount="145">
  <si>
    <t>NOM - Prénom</t>
  </si>
  <si>
    <t>P.C.</t>
  </si>
  <si>
    <t>TOTAL</t>
  </si>
  <si>
    <t>Serie</t>
  </si>
  <si>
    <t>IWF</t>
  </si>
  <si>
    <t>NAT</t>
  </si>
  <si>
    <t>LIEU</t>
  </si>
  <si>
    <t>Pl</t>
  </si>
  <si>
    <t>Catégorie</t>
  </si>
  <si>
    <t>REG</t>
  </si>
  <si>
    <t>Licence</t>
  </si>
  <si>
    <t>CLUB</t>
  </si>
  <si>
    <t>AN</t>
  </si>
  <si>
    <t>ARR</t>
  </si>
  <si>
    <t>EP-J</t>
  </si>
  <si>
    <t>DATE</t>
  </si>
  <si>
    <t>DEBUTANT</t>
  </si>
  <si>
    <t>DEPARTEMENTAL</t>
  </si>
  <si>
    <t>REGIONAL</t>
  </si>
  <si>
    <t>INTERREGIONAL</t>
  </si>
  <si>
    <t>FEDERAL</t>
  </si>
  <si>
    <t>NATIONAL</t>
  </si>
  <si>
    <t>INTERNATIONAL B</t>
  </si>
  <si>
    <t>INTERNATIONAL A</t>
  </si>
  <si>
    <t>OLYMPIQUE</t>
  </si>
  <si>
    <t>MINIME</t>
  </si>
  <si>
    <t>CADET</t>
  </si>
  <si>
    <t>JUNIOR</t>
  </si>
  <si>
    <t>SENIOR</t>
  </si>
  <si>
    <t>CADETTE</t>
  </si>
  <si>
    <t>NON</t>
  </si>
  <si>
    <t xml:space="preserve">DEB </t>
  </si>
  <si>
    <t>DEP +</t>
  </si>
  <si>
    <t>REG +</t>
  </si>
  <si>
    <t>IRG +</t>
  </si>
  <si>
    <t>FED +</t>
  </si>
  <si>
    <t>NAT +</t>
  </si>
  <si>
    <t>INTB +</t>
  </si>
  <si>
    <t>INTA +</t>
  </si>
  <si>
    <t>OLY +</t>
  </si>
  <si>
    <t>Genre</t>
  </si>
  <si>
    <t/>
  </si>
  <si>
    <t>DPT +</t>
  </si>
  <si>
    <t>DEB</t>
  </si>
  <si>
    <t>U15 M49</t>
  </si>
  <si>
    <t>U15 M55</t>
  </si>
  <si>
    <t>U15 M61</t>
  </si>
  <si>
    <t>U15 M67</t>
  </si>
  <si>
    <t>U15 M73</t>
  </si>
  <si>
    <t>U15 M81</t>
  </si>
  <si>
    <t>U15 M89</t>
  </si>
  <si>
    <t>U15 M96</t>
  </si>
  <si>
    <t>U15 M102</t>
  </si>
  <si>
    <t>U15 M&gt;102</t>
  </si>
  <si>
    <t>U17 M49</t>
  </si>
  <si>
    <t>U17 M55</t>
  </si>
  <si>
    <t>U17 M61</t>
  </si>
  <si>
    <t>U17 M67</t>
  </si>
  <si>
    <t>U17 M73</t>
  </si>
  <si>
    <t>U17 M81</t>
  </si>
  <si>
    <t>U17 M89</t>
  </si>
  <si>
    <t>U17 M96</t>
  </si>
  <si>
    <t>U17 M102</t>
  </si>
  <si>
    <t>U17 M&gt;102</t>
  </si>
  <si>
    <t>U20 M55</t>
  </si>
  <si>
    <t>U20 M61</t>
  </si>
  <si>
    <t>U20 M67</t>
  </si>
  <si>
    <t>U20 M73</t>
  </si>
  <si>
    <t>U20 M81</t>
  </si>
  <si>
    <t>U20 M89</t>
  </si>
  <si>
    <t>U20 M96</t>
  </si>
  <si>
    <t>U20 M102</t>
  </si>
  <si>
    <t>U20 M109</t>
  </si>
  <si>
    <t>U20 M&gt;109</t>
  </si>
  <si>
    <t>SE M55</t>
  </si>
  <si>
    <t>SE M61</t>
  </si>
  <si>
    <t>SE M67</t>
  </si>
  <si>
    <t>SE M73</t>
  </si>
  <si>
    <t>SE M81</t>
  </si>
  <si>
    <t>SE M89</t>
  </si>
  <si>
    <t>SE M96</t>
  </si>
  <si>
    <t>SE M102</t>
  </si>
  <si>
    <t>SE M109</t>
  </si>
  <si>
    <t>SE M&gt;109</t>
  </si>
  <si>
    <t>U15 F40</t>
  </si>
  <si>
    <t>U15 F45</t>
  </si>
  <si>
    <t>U15 F49</t>
  </si>
  <si>
    <t>U17 F55</t>
  </si>
  <si>
    <t>U15 F59</t>
  </si>
  <si>
    <t>U15 F64</t>
  </si>
  <si>
    <t>U15 F71</t>
  </si>
  <si>
    <t>U15 F76</t>
  </si>
  <si>
    <t>U15 F81</t>
  </si>
  <si>
    <t>U15 F&gt;81</t>
  </si>
  <si>
    <t>U17 F40</t>
  </si>
  <si>
    <t>U17 F45</t>
  </si>
  <si>
    <t>U15 F55</t>
  </si>
  <si>
    <t>U17 F59</t>
  </si>
  <si>
    <t>U17 F64</t>
  </si>
  <si>
    <t>U17 F71</t>
  </si>
  <si>
    <t>U17 F76</t>
  </si>
  <si>
    <t>U17 F81</t>
  </si>
  <si>
    <t>U17 F&gt;81</t>
  </si>
  <si>
    <t>U17 F49</t>
  </si>
  <si>
    <t>U20 F45</t>
  </si>
  <si>
    <t>U20 F49</t>
  </si>
  <si>
    <t>U20 F55</t>
  </si>
  <si>
    <t>U20 F59</t>
  </si>
  <si>
    <t>U20 F64</t>
  </si>
  <si>
    <t>U20 F71</t>
  </si>
  <si>
    <t>U20 F76</t>
  </si>
  <si>
    <t>U20 F81</t>
  </si>
  <si>
    <t>U20 F87</t>
  </si>
  <si>
    <t>U20 F&gt;87</t>
  </si>
  <si>
    <t>SE F45</t>
  </si>
  <si>
    <t>SE F49</t>
  </si>
  <si>
    <t>SE F55</t>
  </si>
  <si>
    <t>SE F59</t>
  </si>
  <si>
    <t>SE F64</t>
  </si>
  <si>
    <t>SE F71</t>
  </si>
  <si>
    <t>SE F76</t>
  </si>
  <si>
    <t>SE F81</t>
  </si>
  <si>
    <t>SE F87</t>
  </si>
  <si>
    <t>SE F&gt;87</t>
  </si>
  <si>
    <t>DIVISION</t>
  </si>
  <si>
    <t>U13</t>
  </si>
  <si>
    <t>U15</t>
  </si>
  <si>
    <t>U17</t>
  </si>
  <si>
    <t>U20</t>
  </si>
  <si>
    <t>SENIORS</t>
  </si>
  <si>
    <t>Categories</t>
  </si>
  <si>
    <t>Année max (inclus)</t>
  </si>
  <si>
    <t>Année min (inclus)</t>
  </si>
  <si>
    <t>U10</t>
  </si>
  <si>
    <t>H</t>
  </si>
  <si>
    <t>F</t>
  </si>
  <si>
    <t xml:space="preserve"> </t>
  </si>
  <si>
    <t>AURA</t>
  </si>
  <si>
    <t>REGIONALE</t>
  </si>
  <si>
    <t xml:space="preserve">CHAMPIONNAT REGIONAL  DES CLUBS
 - MIXTE - </t>
  </si>
  <si>
    <t>SECRETAIRE :</t>
  </si>
  <si>
    <t>1            M.</t>
  </si>
  <si>
    <t>ARBITRES :</t>
  </si>
  <si>
    <t>2            M.</t>
  </si>
  <si>
    <t>3           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</si>
</sst>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yy"/>
    <numFmt numFmtId="167" formatCode="[$-40C]d\-mmm\-yy;@"/>
    <numFmt numFmtId="168" formatCode="0.00_)"/>
  </numFmts>
  <fonts count="34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8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1"/>
      <color indexed="55"/>
      <name val="Arial"/>
      <family val="2"/>
    </font>
    <font>
      <b/>
      <sz val="18"/>
      <color indexed="55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0"/>
      <color indexed="55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Arial"/>
      <family val="2"/>
    </font>
    <font>
      <b/>
      <sz val="18"/>
      <color theme="5" tint="-0.249977111117893"/>
      <name val="Arial"/>
      <family val="2"/>
    </font>
    <font>
      <b/>
      <sz val="8"/>
      <name val="Arial"/>
      <family val="2"/>
    </font>
    <font>
      <b/>
      <sz val="18"/>
      <color rgb="FF0000FF"/>
      <name val="Arial"/>
      <family val="2"/>
    </font>
    <font>
      <b/>
      <sz val="28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28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umet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/>
      <right/>
      <top style="medium">
        <color rgb="FF666699"/>
      </top>
      <bottom style="medium">
        <color rgb="FF6666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theme="0" tint="-0.499984740745262"/>
      </right>
      <top style="medium">
        <color auto="1"/>
      </top>
      <bottom style="dotted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medium">
        <color auto="1"/>
      </top>
      <bottom style="dotted">
        <color auto="1"/>
      </bottom>
      <diagonal/>
    </border>
    <border>
      <left style="dashed">
        <color theme="0" tint="-0.499984740745262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theme="0" tint="-0.499984740745262"/>
      </right>
      <top style="dotted">
        <color auto="1"/>
      </top>
      <bottom style="dotted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dotted">
        <color auto="1"/>
      </top>
      <bottom style="dotted">
        <color auto="1"/>
      </bottom>
      <diagonal/>
    </border>
    <border>
      <left style="dashed">
        <color theme="0" tint="-0.499984740745262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ashed">
        <color theme="0" tint="-0.499984740745262"/>
      </right>
      <top style="dotted">
        <color auto="1"/>
      </top>
      <bottom style="medium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dotted">
        <color auto="1"/>
      </top>
      <bottom style="medium">
        <color auto="1"/>
      </bottom>
      <diagonal/>
    </border>
    <border>
      <left style="dashed">
        <color theme="0" tint="-0.499984740745262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 applyAlignment="1" applyProtection="1">
      <alignment vertical="center"/>
      <protection locked="0" hidden="1"/>
    </xf>
    <xf numFmtId="166" fontId="1" fillId="2" borderId="0" xfId="0" applyNumberFormat="1" applyFont="1" applyFill="1" applyAlignment="1" applyProtection="1">
      <alignment vertical="center"/>
      <protection locked="0"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2" fontId="1" fillId="2" borderId="0" xfId="0" applyNumberFormat="1" applyFont="1" applyFill="1" applyAlignment="1" applyProtection="1">
      <alignment vertical="center"/>
      <protection locked="0" hidden="1"/>
    </xf>
    <xf numFmtId="0" fontId="2" fillId="2" borderId="0" xfId="0" applyFont="1" applyFill="1" applyAlignment="1" applyProtection="1">
      <alignment vertical="center"/>
      <protection locked="0" hidden="1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textRotation="9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66" fontId="2" fillId="2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 applyProtection="1">
      <alignment vertical="center"/>
      <protection locked="0"/>
    </xf>
    <xf numFmtId="1" fontId="12" fillId="2" borderId="0" xfId="0" applyNumberFormat="1" applyFont="1" applyFill="1" applyAlignment="1" applyProtection="1">
      <alignment horizontal="center" vertical="center"/>
      <protection locked="0"/>
    </xf>
    <xf numFmtId="1" fontId="1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left"/>
    </xf>
    <xf numFmtId="0" fontId="18" fillId="10" borderId="0" xfId="0" applyFont="1" applyFill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  <protection locked="0" hidden="1"/>
    </xf>
    <xf numFmtId="2" fontId="0" fillId="0" borderId="0" xfId="0" applyNumberFormat="1"/>
    <xf numFmtId="1" fontId="0" fillId="0" borderId="0" xfId="0" applyNumberFormat="1"/>
    <xf numFmtId="0" fontId="17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21" fillId="0" borderId="0" xfId="0" applyFont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 applyProtection="1">
      <alignment horizontal="center" vertical="center"/>
      <protection locked="0" hidden="1"/>
    </xf>
    <xf numFmtId="0" fontId="2" fillId="3" borderId="0" xfId="0" applyFont="1" applyFill="1" applyAlignment="1" applyProtection="1">
      <alignment horizontal="center" vertical="center"/>
      <protection locked="0" hidden="1"/>
    </xf>
    <xf numFmtId="0" fontId="26" fillId="8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27" fillId="2" borderId="9" xfId="0" applyNumberFormat="1" applyFont="1" applyFill="1" applyBorder="1" applyAlignment="1" applyProtection="1">
      <alignment horizontal="left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19" fillId="2" borderId="9" xfId="0" applyNumberFormat="1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20" fillId="2" borderId="14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2" fontId="13" fillId="2" borderId="1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27" fillId="2" borderId="16" xfId="0" applyNumberFormat="1" applyFont="1" applyFill="1" applyBorder="1" applyAlignment="1" applyProtection="1">
      <alignment horizontal="left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19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20" fillId="2" borderId="21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164" fontId="27" fillId="2" borderId="23" xfId="0" applyNumberFormat="1" applyFont="1" applyFill="1" applyBorder="1" applyAlignment="1" applyProtection="1">
      <alignment horizontal="left" vertical="center"/>
      <protection locked="0"/>
    </xf>
    <xf numFmtId="1" fontId="3" fillId="2" borderId="23" xfId="0" applyNumberFormat="1" applyFont="1" applyFill="1" applyBorder="1" applyAlignment="1" applyProtection="1">
      <alignment horizontal="center" vertical="center"/>
      <protection locked="0"/>
    </xf>
    <xf numFmtId="2" fontId="19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5" xfId="0" applyNumberFormat="1" applyFont="1" applyFill="1" applyBorder="1" applyAlignment="1" applyProtection="1">
      <alignment horizontal="center" vertical="center"/>
      <protection locked="0"/>
    </xf>
    <xf numFmtId="1" fontId="5" fillId="2" borderId="26" xfId="0" applyNumberFormat="1" applyFont="1" applyFill="1" applyBorder="1" applyAlignment="1" applyProtection="1">
      <alignment horizontal="center" vertical="center"/>
      <protection locked="0"/>
    </xf>
    <xf numFmtId="1" fontId="20" fillId="2" borderId="28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2" fontId="13" fillId="2" borderId="27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9" fillId="11" borderId="13" xfId="0" applyNumberFormat="1" applyFont="1" applyFill="1" applyBorder="1" applyAlignment="1">
      <alignment horizontal="center" vertical="center"/>
    </xf>
    <xf numFmtId="1" fontId="9" fillId="11" borderId="20" xfId="0" applyNumberFormat="1" applyFont="1" applyFill="1" applyBorder="1" applyAlignment="1">
      <alignment horizontal="center" vertical="center"/>
    </xf>
    <xf numFmtId="1" fontId="9" fillId="11" borderId="27" xfId="0" applyNumberFormat="1" applyFont="1" applyFill="1" applyBorder="1" applyAlignment="1">
      <alignment horizontal="center" vertical="center"/>
    </xf>
    <xf numFmtId="0" fontId="29" fillId="12" borderId="5" xfId="0" applyFont="1" applyFill="1" applyBorder="1" applyAlignment="1">
      <alignment horizontal="center" vertical="center"/>
    </xf>
    <xf numFmtId="0" fontId="29" fillId="12" borderId="6" xfId="0" applyFont="1" applyFill="1" applyBorder="1" applyAlignment="1">
      <alignment horizontal="center" vertical="center"/>
    </xf>
    <xf numFmtId="164" fontId="29" fillId="12" borderId="6" xfId="0" applyNumberFormat="1" applyFont="1" applyFill="1" applyBorder="1" applyAlignment="1">
      <alignment horizontal="center" vertical="center"/>
    </xf>
    <xf numFmtId="0" fontId="29" fillId="12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2" fontId="13" fillId="2" borderId="3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textRotation="90"/>
    </xf>
    <xf numFmtId="0" fontId="23" fillId="2" borderId="0" xfId="0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27" fillId="2" borderId="0" xfId="0" applyNumberFormat="1" applyFont="1" applyFill="1" applyAlignment="1" applyProtection="1">
      <alignment horizontal="left" vertical="center"/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2" fontId="19" fillId="2" borderId="0" xfId="0" applyNumberFormat="1" applyFont="1" applyFill="1" applyAlignment="1" applyProtection="1">
      <alignment horizontal="center" vertical="center"/>
      <protection locked="0"/>
    </xf>
    <xf numFmtId="1" fontId="5" fillId="2" borderId="0" xfId="0" applyNumberFormat="1" applyFont="1" applyFill="1" applyAlignment="1" applyProtection="1">
      <alignment horizontal="center" vertical="center"/>
      <protection locked="0"/>
    </xf>
    <xf numFmtId="1" fontId="9" fillId="11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vertical="center"/>
      <protection locked="0" hidden="1"/>
    </xf>
    <xf numFmtId="2" fontId="7" fillId="2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31" fillId="0" borderId="0" xfId="0" applyFont="1" applyAlignment="1">
      <alignment horizontal="right"/>
    </xf>
    <xf numFmtId="1" fontId="31" fillId="0" borderId="0" xfId="0" applyNumberFormat="1" applyFont="1"/>
    <xf numFmtId="0" fontId="31" fillId="0" borderId="0" xfId="0" applyFont="1" applyAlignment="1">
      <alignment horizontal="center"/>
    </xf>
    <xf numFmtId="1" fontId="32" fillId="0" borderId="0" xfId="0" applyNumberFormat="1" applyFont="1"/>
    <xf numFmtId="49" fontId="31" fillId="0" borderId="0" xfId="0" applyNumberFormat="1" applyFont="1" applyAlignment="1">
      <alignment horizontal="center"/>
    </xf>
    <xf numFmtId="168" fontId="33" fillId="0" borderId="0" xfId="0" applyNumberFormat="1" applyFont="1" applyAlignment="1">
      <alignment vertical="center"/>
    </xf>
    <xf numFmtId="0" fontId="15" fillId="2" borderId="8" xfId="0" applyFont="1" applyFill="1" applyBorder="1" applyAlignment="1">
      <alignment horizontal="center" vertical="center" textRotation="90"/>
    </xf>
    <xf numFmtId="0" fontId="15" fillId="2" borderId="29" xfId="0" applyFont="1" applyFill="1" applyBorder="1" applyAlignment="1">
      <alignment horizontal="center" vertical="center" textRotation="90"/>
    </xf>
    <xf numFmtId="0" fontId="15" fillId="2" borderId="15" xfId="0" applyFont="1" applyFill="1" applyBorder="1" applyAlignment="1">
      <alignment horizontal="center" vertical="center" textRotation="90"/>
    </xf>
    <xf numFmtId="0" fontId="15" fillId="2" borderId="22" xfId="0" applyFont="1" applyFill="1" applyBorder="1" applyAlignment="1">
      <alignment horizontal="center" vertical="center" textRotation="90"/>
    </xf>
    <xf numFmtId="1" fontId="22" fillId="0" borderId="32" xfId="0" applyNumberFormat="1" applyFont="1" applyBorder="1" applyAlignment="1">
      <alignment horizontal="center" vertical="center"/>
    </xf>
    <xf numFmtId="1" fontId="22" fillId="0" borderId="33" xfId="0" applyNumberFormat="1" applyFont="1" applyBorder="1" applyAlignment="1">
      <alignment horizontal="center" vertical="center"/>
    </xf>
    <xf numFmtId="1" fontId="22" fillId="0" borderId="34" xfId="0" applyNumberFormat="1" applyFont="1" applyBorder="1" applyAlignment="1">
      <alignment horizontal="center" vertical="center"/>
    </xf>
    <xf numFmtId="0" fontId="4" fillId="13" borderId="9" xfId="0" applyFont="1" applyFill="1" applyBorder="1" applyAlignment="1" applyProtection="1">
      <alignment horizontal="center" vertical="center"/>
      <protection locked="0"/>
    </xf>
    <xf numFmtId="0" fontId="4" fillId="13" borderId="30" xfId="0" applyFont="1" applyFill="1" applyBorder="1" applyAlignment="1" applyProtection="1">
      <alignment horizontal="center" vertical="center"/>
      <protection locked="0"/>
    </xf>
    <xf numFmtId="0" fontId="4" fillId="13" borderId="16" xfId="0" applyFont="1" applyFill="1" applyBorder="1" applyAlignment="1" applyProtection="1">
      <alignment horizontal="center" vertical="center"/>
      <protection locked="0"/>
    </xf>
    <xf numFmtId="2" fontId="30" fillId="12" borderId="16" xfId="0" applyNumberFormat="1" applyFont="1" applyFill="1" applyBorder="1" applyAlignment="1" applyProtection="1">
      <alignment horizontal="center" vertical="center"/>
      <protection locked="0"/>
    </xf>
    <xf numFmtId="0" fontId="30" fillId="12" borderId="23" xfId="0" applyFont="1" applyFill="1" applyBorder="1" applyAlignment="1" applyProtection="1">
      <alignment horizontal="center" vertical="center"/>
      <protection locked="0"/>
    </xf>
    <xf numFmtId="1" fontId="22" fillId="0" borderId="35" xfId="0" applyNumberFormat="1" applyFont="1" applyBorder="1" applyAlignment="1">
      <alignment horizontal="center" vertical="center"/>
    </xf>
    <xf numFmtId="1" fontId="22" fillId="0" borderId="36" xfId="0" applyNumberFormat="1" applyFont="1" applyBorder="1" applyAlignment="1">
      <alignment horizontal="center" vertical="center"/>
    </xf>
    <xf numFmtId="0" fontId="14" fillId="12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167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8" fillId="12" borderId="3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  <color auto="1"/>
      </font>
      <fill>
        <patternFill>
          <bgColor rgb="FFFF0000"/>
        </patternFill>
      </fill>
    </dxf>
    <dxf>
      <font>
        <strike val="0"/>
        <color theme="0"/>
        <name val="Cambria"/>
        <scheme val="none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strike val="0"/>
        <color theme="0"/>
        <name val="Cambria"/>
        <scheme val="none"/>
      </font>
      <fill>
        <patternFill>
          <bgColor rgb="FFFF0000"/>
        </patternFill>
      </fill>
    </dxf>
    <dxf>
      <font>
        <color auto="1"/>
      </font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FF99FF"/>
      <color rgb="FFFF66FF"/>
      <color rgb="FF66FF99"/>
      <color rgb="FF666699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374286</xdr:colOff>
      <xdr:row>1</xdr:row>
      <xdr:rowOff>125692</xdr:rowOff>
    </xdr:from>
    <xdr:to>
      <xdr:col>19</xdr:col>
      <xdr:colOff>492267</xdr:colOff>
      <xdr:row>3</xdr:row>
      <xdr:rowOff>68543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6580" y="185457"/>
          <a:ext cx="760452" cy="704851"/>
        </a:xfrm>
        <a:prstGeom prst="rect">
          <a:avLst/>
        </a:prstGeom>
      </xdr:spPr>
    </xdr:pic>
    <xdr:clientData/>
  </xdr:twoCellAnchor>
  <xdr:twoCellAnchor editAs="oneCell">
    <xdr:from>
      <xdr:col>0</xdr:col>
      <xdr:colOff>59765</xdr:colOff>
      <xdr:row>0</xdr:row>
      <xdr:rowOff>0</xdr:rowOff>
    </xdr:from>
    <xdr:to>
      <xdr:col>3</xdr:col>
      <xdr:colOff>343647</xdr:colOff>
      <xdr:row>4</xdr:row>
      <xdr:rowOff>156883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9B95B4-2BF9-5CE9-3A47-4FD8912D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5" y="0"/>
          <a:ext cx="1449294" cy="124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S39"/>
  <sheetViews>
    <sheetView tabSelected="1" zoomScale="102" zoomScaleNormal="102" workbookViewId="0">
      <selection activeCell="F11" sqref="F11"/>
    </sheetView>
  </sheetViews>
  <sheetFormatPr baseColWidth="10" defaultColWidth="11.44140625" defaultRowHeight="13.2"/>
  <cols>
    <col min="1" max="1" width="1.6640625" style="1" customWidth="1"/>
    <col min="2" max="2" width="5.6640625" style="1" customWidth="1"/>
    <col min="3" max="3" width="9.6640625" style="1" customWidth="1"/>
    <col min="4" max="5" width="6.6640625" style="1" customWidth="1"/>
    <col min="6" max="6" width="50.6640625" style="1" customWidth="1"/>
    <col min="7" max="7" width="5.6640625" style="1" customWidth="1"/>
    <col min="8" max="8" width="25.6640625" style="1" customWidth="1"/>
    <col min="9" max="9" width="5.6640625" style="2" bestFit="1" customWidth="1"/>
    <col min="10" max="10" width="10.77734375" style="1" customWidth="1"/>
    <col min="11" max="11" width="10.109375" style="1" customWidth="1"/>
    <col min="12" max="13" width="9.33203125" style="1" customWidth="1"/>
    <col min="14" max="14" width="9.33203125" style="3" customWidth="1"/>
    <col min="15" max="17" width="9.33203125" style="1" customWidth="1"/>
    <col min="18" max="19" width="9.33203125" style="3" customWidth="1"/>
    <col min="20" max="20" width="11.6640625" style="4" customWidth="1"/>
    <col min="21" max="21" width="12" style="1" bestFit="1" customWidth="1"/>
    <col min="22" max="22" width="9.88671875" style="1" customWidth="1"/>
    <col min="23" max="23" width="1.6640625" style="1" customWidth="1"/>
    <col min="24" max="25" width="0" style="1" hidden="1" customWidth="1"/>
    <col min="26" max="38" width="11.44140625" style="30" hidden="1" customWidth="1"/>
    <col min="39" max="39" width="36.44140625" style="30" hidden="1" customWidth="1"/>
    <col min="40" max="40" width="11.44140625" style="30" hidden="1" customWidth="1"/>
    <col min="41" max="41" width="11.44140625" style="30" customWidth="1"/>
    <col min="42" max="123" width="11.44140625" style="30"/>
    <col min="124" max="16384" width="11.44140625" style="1"/>
  </cols>
  <sheetData>
    <row r="1" spans="1:123" ht="5.0999999999999996" customHeight="1"/>
    <row r="2" spans="1:123" s="9" customFormat="1" ht="30" customHeight="1">
      <c r="D2" s="144" t="s">
        <v>136</v>
      </c>
      <c r="E2" s="169" t="s">
        <v>139</v>
      </c>
      <c r="F2" s="169"/>
      <c r="G2" s="169"/>
      <c r="H2" s="169"/>
      <c r="I2" s="141"/>
      <c r="J2" s="165" t="s">
        <v>124</v>
      </c>
      <c r="K2" s="165"/>
      <c r="M2" s="165" t="s">
        <v>6</v>
      </c>
      <c r="N2" s="165"/>
      <c r="O2" s="165"/>
      <c r="P2" s="165"/>
      <c r="Q2" s="165"/>
      <c r="R2" s="165"/>
      <c r="U2" s="165" t="s">
        <v>15</v>
      </c>
      <c r="V2" s="165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</row>
    <row r="3" spans="1:123" s="9" customFormat="1" ht="30" customHeight="1">
      <c r="D3" s="144"/>
      <c r="E3" s="170"/>
      <c r="F3" s="170"/>
      <c r="G3" s="170"/>
      <c r="H3" s="170"/>
      <c r="I3" s="141"/>
      <c r="J3" s="168" t="s">
        <v>138</v>
      </c>
      <c r="K3" s="168"/>
      <c r="L3" s="142"/>
      <c r="M3" s="166" t="s">
        <v>136</v>
      </c>
      <c r="N3" s="166"/>
      <c r="O3" s="166"/>
      <c r="P3" s="166"/>
      <c r="Q3" s="166"/>
      <c r="R3" s="166"/>
      <c r="S3" s="143"/>
      <c r="T3" s="143"/>
      <c r="U3" s="167">
        <v>45612</v>
      </c>
      <c r="V3" s="167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</row>
    <row r="4" spans="1:123" s="8" customFormat="1" ht="20.399999999999999" customHeight="1">
      <c r="A4" s="7"/>
      <c r="B4" s="14"/>
      <c r="C4" s="7"/>
      <c r="D4" s="15"/>
      <c r="E4" s="15"/>
      <c r="F4" s="16"/>
      <c r="G4" s="18"/>
      <c r="H4" s="19"/>
      <c r="I4" s="20"/>
      <c r="J4" s="21"/>
      <c r="K4" s="22"/>
      <c r="L4" s="22"/>
      <c r="M4" s="22"/>
      <c r="N4" s="23"/>
      <c r="O4" s="22"/>
      <c r="P4" s="22"/>
      <c r="Q4" s="22"/>
      <c r="R4" s="23"/>
      <c r="S4" s="23"/>
      <c r="T4" s="24"/>
      <c r="U4" s="16"/>
      <c r="V4" s="16"/>
      <c r="W4" s="6"/>
      <c r="X4" s="6"/>
      <c r="Y4" s="6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</row>
    <row r="5" spans="1:123" s="13" customFormat="1" ht="18" customHeight="1">
      <c r="A5" s="12"/>
      <c r="B5" s="109" t="s">
        <v>9</v>
      </c>
      <c r="C5" s="110" t="s">
        <v>10</v>
      </c>
      <c r="D5" s="110" t="s">
        <v>7</v>
      </c>
      <c r="E5" s="110" t="s">
        <v>40</v>
      </c>
      <c r="F5" s="110" t="s">
        <v>0</v>
      </c>
      <c r="G5" s="110" t="s">
        <v>12</v>
      </c>
      <c r="H5" s="110" t="s">
        <v>11</v>
      </c>
      <c r="I5" s="111" t="s">
        <v>5</v>
      </c>
      <c r="J5" s="111" t="s">
        <v>1</v>
      </c>
      <c r="K5" s="70">
        <v>1</v>
      </c>
      <c r="L5" s="70">
        <v>2</v>
      </c>
      <c r="M5" s="70">
        <v>3</v>
      </c>
      <c r="N5" s="111" t="s">
        <v>13</v>
      </c>
      <c r="O5" s="70">
        <v>1</v>
      </c>
      <c r="P5" s="70">
        <v>2</v>
      </c>
      <c r="Q5" s="70">
        <v>3</v>
      </c>
      <c r="R5" s="111" t="s">
        <v>14</v>
      </c>
      <c r="S5" s="111" t="s">
        <v>2</v>
      </c>
      <c r="T5" s="111" t="s">
        <v>3</v>
      </c>
      <c r="U5" s="111" t="s">
        <v>8</v>
      </c>
      <c r="V5" s="112" t="s">
        <v>4</v>
      </c>
      <c r="W5" s="12"/>
      <c r="X5" s="12"/>
      <c r="Y5" s="12"/>
      <c r="Z5" s="33"/>
      <c r="AA5" s="51" t="s">
        <v>43</v>
      </c>
      <c r="AB5" s="51" t="s">
        <v>42</v>
      </c>
      <c r="AC5" s="51" t="s">
        <v>33</v>
      </c>
      <c r="AD5" s="51" t="s">
        <v>34</v>
      </c>
      <c r="AE5" s="51" t="s">
        <v>35</v>
      </c>
      <c r="AF5" s="51" t="s">
        <v>36</v>
      </c>
      <c r="AG5" s="51" t="s">
        <v>37</v>
      </c>
      <c r="AH5" s="51" t="s">
        <v>38</v>
      </c>
      <c r="AI5" s="51" t="s">
        <v>39</v>
      </c>
      <c r="AJ5" s="52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</row>
    <row r="6" spans="1:123" s="8" customFormat="1" ht="5.0999999999999996" customHeight="1" thickBot="1">
      <c r="A6" s="7"/>
      <c r="B6" s="14"/>
      <c r="C6" s="7"/>
      <c r="D6" s="16"/>
      <c r="E6" s="16"/>
      <c r="F6" s="17"/>
      <c r="G6" s="20"/>
      <c r="H6" s="19"/>
      <c r="I6" s="15"/>
      <c r="J6" s="21"/>
      <c r="K6" s="22"/>
      <c r="L6" s="22"/>
      <c r="M6" s="22"/>
      <c r="N6" s="23"/>
      <c r="O6" s="22"/>
      <c r="P6" s="22"/>
      <c r="Q6" s="22"/>
      <c r="R6" s="23"/>
      <c r="S6" s="23"/>
      <c r="T6" s="23"/>
      <c r="U6" s="23"/>
      <c r="V6" s="23"/>
      <c r="W6" s="6"/>
      <c r="X6" s="6"/>
      <c r="Y6" s="6"/>
      <c r="Z6" s="32"/>
      <c r="AA6" s="53" t="s">
        <v>31</v>
      </c>
      <c r="AB6" s="53" t="s">
        <v>32</v>
      </c>
      <c r="AC6" s="53" t="s">
        <v>33</v>
      </c>
      <c r="AD6" s="53" t="s">
        <v>34</v>
      </c>
      <c r="AE6" s="53" t="s">
        <v>35</v>
      </c>
      <c r="AF6" s="53" t="s">
        <v>36</v>
      </c>
      <c r="AG6" s="53" t="s">
        <v>37</v>
      </c>
      <c r="AH6" s="53" t="s">
        <v>38</v>
      </c>
      <c r="AI6" s="53" t="s">
        <v>39</v>
      </c>
      <c r="AJ6" s="53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</row>
    <row r="7" spans="1:123" s="5" customFormat="1" ht="34.950000000000003" customHeight="1">
      <c r="B7" s="151" t="s">
        <v>137</v>
      </c>
      <c r="C7" s="71"/>
      <c r="D7" s="155">
        <f>IF(H10="","",RANK(H10,$Y$8:$Y$13,0))</f>
        <v>2</v>
      </c>
      <c r="E7" s="72" t="s">
        <v>135</v>
      </c>
      <c r="F7" s="73"/>
      <c r="G7" s="136"/>
      <c r="H7" s="158"/>
      <c r="I7" s="72"/>
      <c r="J7" s="130">
        <v>57</v>
      </c>
      <c r="K7" s="133">
        <v>41</v>
      </c>
      <c r="L7" s="77" t="s">
        <v>136</v>
      </c>
      <c r="M7" s="78"/>
      <c r="N7" s="106">
        <f>IF(E7="","",IF(MAXA(K7:M7)&lt;=0,0,MAXA(K7:M7)))</f>
        <v>41</v>
      </c>
      <c r="O7" s="133">
        <v>59</v>
      </c>
      <c r="P7" s="77"/>
      <c r="Q7" s="78"/>
      <c r="R7" s="106">
        <f>IF(E7="","",IF(MAXA(O7:Q7)&lt;=0,0,MAXA(O7:Q7)))</f>
        <v>59</v>
      </c>
      <c r="S7" s="79">
        <f>IF(E7="","",N7+R7)</f>
        <v>100</v>
      </c>
      <c r="T7" s="80" t="str">
        <f>+CONCATENATE(AL7," ",AM7)</f>
        <v>REG + 8</v>
      </c>
      <c r="U7" s="80" t="str">
        <f>IF(E7=0," ",IF(E7="H",IF(G7&lt;=SENIORS_Min,VLOOKUP(J7,Minimas!$A$15:$F$29,6),IF(AND(G7&gt;=U20_Min,G7&lt;=U20_Max),VLOOKUP(J7,Minimas!$A$15:$F$29,5),IF(AND(G7&gt;=U17_Min,G7&lt;=U17_Max),VLOOKUP(J7,Minimas!$A$15:$F$29,4),IF(AND(G7&gt;=U15_Min,G7&lt;=U15_Max),VLOOKUP(J7,Minimas!$A$15:$F$29,3),VLOOKUP(J7,Minimas!$A$15:$F$29,2))))),IF(G7&lt;=SENIORS_Min,VLOOKUP(J7,Minimas!$G$15:$L$29,6),IF(AND(G7&gt;=U20_Min,G7&lt;=U20_Max),VLOOKUP(J7,Minimas!$G$15:$L$29,5),IF(AND(G7&gt;=U17_Min,G7&lt;=U17_Max),VLOOKUP(J7,Minimas!$G$15:$L$29,4),IF(AND(G7&gt;=U15_Min,G7&lt;=U15_Max),VLOOKUP(J7,Minimas!$G$15:$L$29,3),VLOOKUP(J7,Minimas!$G$15:$L$29,2)))))))</f>
        <v>SE F59</v>
      </c>
      <c r="V7" s="81">
        <f>IF(E7=" "," ",IF(E7="H",10^(0.722762521*LOG(J7/193.609)^2)*S7,IF(E7="F",10^(0.787004341* LOG(J7/153.757)^2)*S7*1.5,"")))</f>
        <v>210.01913511132219</v>
      </c>
      <c r="Z7" s="34"/>
      <c r="AA7" s="54">
        <f>S7-HLOOKUP(U7,Minimas!$C$3:$CD$12,2,FALSE)</f>
        <v>35</v>
      </c>
      <c r="AB7" s="54">
        <f>S7-HLOOKUP(U7,Minimas!$C$3:$CD$12,3,FALSE)</f>
        <v>20</v>
      </c>
      <c r="AC7" s="54">
        <f>S7-HLOOKUP(U7,Minimas!$C$3:$CD$12,4,FALSE)</f>
        <v>8</v>
      </c>
      <c r="AD7" s="54">
        <f>S7-HLOOKUP(U7,Minimas!$C$3:$CD$12,5,FALSE)</f>
        <v>-12</v>
      </c>
      <c r="AE7" s="54">
        <f>S7-HLOOKUP(U7,Minimas!$C$3:$CD$12,6,FALSE)</f>
        <v>-40</v>
      </c>
      <c r="AF7" s="54">
        <f>S7-HLOOKUP(U7,Minimas!$C$3:$CD$12,7,FALSE)</f>
        <v>-55</v>
      </c>
      <c r="AG7" s="54">
        <f>S7-HLOOKUP(U7,Minimas!$C$3:$CD$12,8,FALSE)</f>
        <v>-75</v>
      </c>
      <c r="AH7" s="54">
        <f>S7-HLOOKUP(U7,Minimas!$C$3:$CD$12,9,FALSE)</f>
        <v>-100</v>
      </c>
      <c r="AI7" s="54">
        <f>S7-HLOOKUP(U7,Minimas!$C$3:$CD$12,10,FALSE)</f>
        <v>-9899</v>
      </c>
      <c r="AJ7" s="55" t="str">
        <f>IF(E7=0," ",IF(AI7&gt;=0,$AI$5,IF(AH7&gt;=0,$AH$5,IF(AG7&gt;=0,$AG$5,IF(AF7&gt;=0,$AF$5,IF(AE7&gt;=0,$AE$5,IF(AD7&gt;=0,$AD$5,IF(AC7&gt;=0,$AC$5,IF(AB7&gt;=0,$AB$5,$AA$5)))))))))</f>
        <v>REG +</v>
      </c>
      <c r="AK7" s="34"/>
      <c r="AL7" s="34" t="str">
        <f>IF(AJ7="","",AJ7)</f>
        <v>REG +</v>
      </c>
      <c r="AM7" s="34">
        <f>IF(E7=0," ",IF(AI7&gt;=0,AI7,IF(AH7&gt;=0,AH7,IF(AG7&gt;=0,AG7,IF(AF7&gt;=0,AF7,IF(AE7&gt;=0,AE7,IF(AD7&gt;=0,AD7,IF(AC7&gt;=0,AC7,IF(AB7&gt;=0,AB7,AA7)))))))))</f>
        <v>8</v>
      </c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  <row r="8" spans="1:123" s="5" customFormat="1" ht="34.950000000000003" customHeight="1">
      <c r="B8" s="152"/>
      <c r="C8" s="82"/>
      <c r="D8" s="156"/>
      <c r="E8" s="83" t="s">
        <v>135</v>
      </c>
      <c r="F8" s="84"/>
      <c r="G8" s="137"/>
      <c r="H8" s="159"/>
      <c r="I8" s="83"/>
      <c r="J8" s="131">
        <v>60</v>
      </c>
      <c r="K8" s="134">
        <v>46</v>
      </c>
      <c r="L8" s="88"/>
      <c r="M8" s="89"/>
      <c r="N8" s="107">
        <f>IF(E8="","",IF(MAXA(K8:M8)&lt;=0,0,MAXA(K8:M8)))</f>
        <v>46</v>
      </c>
      <c r="O8" s="134">
        <v>62</v>
      </c>
      <c r="P8" s="88"/>
      <c r="Q8" s="89"/>
      <c r="R8" s="107">
        <f>IF(E8="","",IF(MAXA(O8:Q8)&lt;=0,0,MAXA(O8:Q8)))</f>
        <v>62</v>
      </c>
      <c r="S8" s="90">
        <f>IF(E8="","",N8+R8)</f>
        <v>108</v>
      </c>
      <c r="T8" s="91" t="str">
        <f>+CONCATENATE(AL8," ",AM8)</f>
        <v>REG + 8</v>
      </c>
      <c r="U8" s="91" t="str">
        <f>IF(E8=0," ",IF(E8="H",IF(G8&lt;=SENIORS_Min,VLOOKUP(J8,Minimas!$A$15:$F$29,6),IF(AND(G8&gt;=U20_Min,G8&lt;=U20_Max),VLOOKUP(J8,Minimas!$A$15:$F$29,5),IF(AND(G8&gt;=U17_Min,G8&lt;=U17_Max),VLOOKUP(J8,Minimas!$A$15:$F$29,4),IF(AND(G8&gt;=U15_Min,G8&lt;=U15_Max),VLOOKUP(J8,Minimas!$A$15:$F$29,3),VLOOKUP(J8,Minimas!$A$15:$F$29,2))))),IF(G8&lt;=SENIORS_Min,VLOOKUP(J8,Minimas!$G$15:$L$29,6),IF(AND(G8&gt;=U20_Min,G8&lt;=U20_Max),VLOOKUP(J8,Minimas!$G$15:$L$29,5),IF(AND(G8&gt;=U17_Min,G8&lt;=U17_Max),VLOOKUP(J8,Minimas!$G$15:$L$29,4),IF(AND(G8&gt;=U15_Min,G8&lt;=U15_Max),VLOOKUP(J8,Minimas!$G$15:$L$29,3),VLOOKUP(J8,Minimas!$G$15:$L$29,2)))))))</f>
        <v>SE F64</v>
      </c>
      <c r="V8" s="92">
        <f t="shared" ref="V8:V35" si="0">IF(E8=" "," ",IF(E8="H",10^(0.722762521*LOG(J8/193.609)^2)*S8,IF(E8="F",10^(0.787004341* LOG(J8/153.757)^2)*S8*1.5,"")))</f>
        <v>219.26146303547992</v>
      </c>
      <c r="Y8" s="139">
        <f>H10</f>
        <v>1363.8468290168657</v>
      </c>
      <c r="Z8" s="34"/>
      <c r="AA8" s="54">
        <f>S8-HLOOKUP(U8,Minimas!$C$3:$CD$12,2,FALSE)</f>
        <v>38</v>
      </c>
      <c r="AB8" s="54">
        <f>S8-HLOOKUP(U8,Minimas!$C$3:$CD$12,3,FALSE)</f>
        <v>23</v>
      </c>
      <c r="AC8" s="54">
        <f>S8-HLOOKUP(U8,Minimas!$C$3:$CD$12,4,FALSE)</f>
        <v>8</v>
      </c>
      <c r="AD8" s="54">
        <f>S8-HLOOKUP(U8,Minimas!$C$3:$CD$12,5,FALSE)</f>
        <v>-14</v>
      </c>
      <c r="AE8" s="54">
        <f>S8-HLOOKUP(U8,Minimas!$C$3:$CD$12,6,FALSE)</f>
        <v>-39</v>
      </c>
      <c r="AF8" s="54">
        <f>S8-HLOOKUP(U8,Minimas!$C$3:$CD$12,7,FALSE)</f>
        <v>-57</v>
      </c>
      <c r="AG8" s="54">
        <f>S8-HLOOKUP(U8,Minimas!$C$3:$CD$12,8,FALSE)</f>
        <v>-77</v>
      </c>
      <c r="AH8" s="54">
        <f>S8-HLOOKUP(U8,Minimas!$C$3:$CD$12,9,FALSE)</f>
        <v>-100</v>
      </c>
      <c r="AI8" s="54">
        <f>S8-HLOOKUP(U8,Minimas!$C$3:$CD$12,10,FALSE)</f>
        <v>-9891</v>
      </c>
      <c r="AJ8" s="55" t="str">
        <f>IF(E8=0," ",IF(AI8&gt;=0,$AI$5,IF(AH8&gt;=0,$AH$5,IF(AG8&gt;=0,$AG$5,IF(AF8&gt;=0,$AF$5,IF(AE8&gt;=0,$AE$5,IF(AD8&gt;=0,$AD$5,IF(AC8&gt;=0,$AC$5,IF(AB8&gt;=0,$AB$5,$AA$5)))))))))</f>
        <v>REG +</v>
      </c>
      <c r="AK8" s="34"/>
      <c r="AL8" s="34" t="str">
        <f t="shared" ref="AL8" si="1">IF(AJ8="","",AJ8)</f>
        <v>REG +</v>
      </c>
      <c r="AM8" s="34">
        <f>IF(E8=0," ",IF(AI8&gt;=0,AI8,IF(AH8&gt;=0,AH8,IF(AG8&gt;=0,AG8,IF(AF8&gt;=0,AF8,IF(AE8&gt;=0,AE8,IF(AD8&gt;=0,AD8,IF(AC8&gt;=0,AC8,IF(AB8&gt;=0,AB8,AA8)))))))))</f>
        <v>8</v>
      </c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</row>
    <row r="9" spans="1:123" s="5" customFormat="1" ht="34.950000000000003" customHeight="1">
      <c r="B9" s="153"/>
      <c r="C9" s="82"/>
      <c r="D9" s="156"/>
      <c r="E9" s="83" t="s">
        <v>135</v>
      </c>
      <c r="F9" s="84"/>
      <c r="G9" s="137"/>
      <c r="H9" s="160"/>
      <c r="I9" s="83"/>
      <c r="J9" s="131">
        <v>73.599999999999994</v>
      </c>
      <c r="K9" s="134">
        <v>101</v>
      </c>
      <c r="L9" s="88" t="s">
        <v>136</v>
      </c>
      <c r="M9" s="89"/>
      <c r="N9" s="107">
        <f>IF(E9="","",IF(MAXA(K9:M9)&lt;=0,0,MAXA(K9:M9)))</f>
        <v>101</v>
      </c>
      <c r="O9" s="134">
        <v>124</v>
      </c>
      <c r="P9" s="88"/>
      <c r="Q9" s="89"/>
      <c r="R9" s="107">
        <f>IF(E9="","",IF(MAXA(O9:Q9)&lt;=0,0,MAXA(O9:Q9)))</f>
        <v>124</v>
      </c>
      <c r="S9" s="90">
        <f>IF(E9="","",N9+R9)</f>
        <v>225</v>
      </c>
      <c r="T9" s="91" t="str">
        <f t="shared" ref="T9:T10" si="2">+CONCATENATE(AL9," ",AM9)</f>
        <v>INTA + 9</v>
      </c>
      <c r="U9" s="91" t="str">
        <f>IF(E9=0," ",IF(E9="H",IF(G9&lt;=SENIORS_Min,VLOOKUP(J9,Minimas!$A$15:$F$29,6),IF(AND(G9&gt;=U20_Min,G9&lt;=U20_Max),VLOOKUP(J9,Minimas!$A$15:$F$29,5),IF(AND(G9&gt;=U17_Min,G9&lt;=U17_Max),VLOOKUP(J9,Minimas!$A$15:$F$29,4),IF(AND(G9&gt;=U15_Min,G9&lt;=U15_Max),VLOOKUP(J9,Minimas!$A$15:$F$29,3),VLOOKUP(J9,Minimas!$A$15:$F$29,2))))),IF(G9&lt;=SENIORS_Min,VLOOKUP(J9,Minimas!$G$15:$L$29,6),IF(AND(G9&gt;=U20_Min,G9&lt;=U20_Max),VLOOKUP(J9,Minimas!$G$15:$L$29,5),IF(AND(G9&gt;=U17_Min,G9&lt;=U17_Max),VLOOKUP(J9,Minimas!$G$15:$L$29,4),IF(AND(G9&gt;=U15_Min,G9&lt;=U15_Max),VLOOKUP(J9,Minimas!$G$15:$L$29,3),VLOOKUP(J9,Minimas!$G$15:$L$29,2)))))))</f>
        <v>SE F76</v>
      </c>
      <c r="V9" s="92">
        <f t="shared" si="0"/>
        <v>406.29493310878041</v>
      </c>
      <c r="Y9" s="139">
        <f>H16</f>
        <v>1290.1509437060702</v>
      </c>
      <c r="Z9" s="34"/>
      <c r="AA9" s="54">
        <f>S9-HLOOKUP(U9,Minimas!$C$3:$CD$12,2,FALSE)</f>
        <v>145</v>
      </c>
      <c r="AB9" s="54">
        <f>S9-HLOOKUP(U9,Minimas!$C$3:$CD$12,3,FALSE)</f>
        <v>130</v>
      </c>
      <c r="AC9" s="54">
        <f>S9-HLOOKUP(U9,Minimas!$C$3:$CD$12,4,FALSE)</f>
        <v>110</v>
      </c>
      <c r="AD9" s="54">
        <f>S9-HLOOKUP(U9,Minimas!$C$3:$CD$12,5,FALSE)</f>
        <v>90</v>
      </c>
      <c r="AE9" s="54">
        <f>S9-HLOOKUP(U9,Minimas!$C$3:$CD$12,6,FALSE)</f>
        <v>70</v>
      </c>
      <c r="AF9" s="54">
        <f>S9-HLOOKUP(U9,Minimas!$C$3:$CD$12,7,FALSE)</f>
        <v>49</v>
      </c>
      <c r="AG9" s="54">
        <f>S9-HLOOKUP(U9,Minimas!$C$3:$CD$12,8,FALSE)</f>
        <v>29</v>
      </c>
      <c r="AH9" s="54">
        <f>S9-HLOOKUP(U9,Minimas!$C$3:$CD$12,9,FALSE)</f>
        <v>9</v>
      </c>
      <c r="AI9" s="54">
        <f>S9-HLOOKUP(U9,Minimas!$C$3:$CD$12,10,FALSE)</f>
        <v>-9774</v>
      </c>
      <c r="AJ9" s="55" t="str">
        <f>IF(E9=0," ",IF(AI9&gt;=0,$AI$5,IF(AH9&gt;=0,$AH$5,IF(AG9&gt;=0,$AG$5,IF(AF9&gt;=0,$AF$5,IF(AE9&gt;=0,$AE$5,IF(AD9&gt;=0,$AD$5,IF(AC9&gt;=0,$AC$5,IF(AB9&gt;=0,$AB$5,$AA$5)))))))))</f>
        <v>INTA +</v>
      </c>
      <c r="AK9" s="34"/>
      <c r="AL9" s="34" t="str">
        <f t="shared" ref="AL9" si="3">IF(AJ9="","",AJ9)</f>
        <v>INTA +</v>
      </c>
      <c r="AM9" s="34">
        <f>IF(E9=0," ",IF(AI9&gt;=0,AI9,IF(AH9&gt;=0,AH9,IF(AG9&gt;=0,AG9,IF(AF9&gt;=0,AF9,IF(AE9&gt;=0,AE9,IF(AD9&gt;=0,AD9,IF(AC9&gt;=0,AC9,IF(AB9&gt;=0,AB9,AA9)))))))))</f>
        <v>9</v>
      </c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</row>
    <row r="10" spans="1:123" s="5" customFormat="1" ht="34.950000000000003" customHeight="1">
      <c r="B10" s="153"/>
      <c r="C10" s="82"/>
      <c r="D10" s="156"/>
      <c r="E10" s="83" t="s">
        <v>135</v>
      </c>
      <c r="F10" s="84"/>
      <c r="G10" s="137"/>
      <c r="H10" s="161">
        <f>SUM(V7:V11)</f>
        <v>1363.8468290168657</v>
      </c>
      <c r="I10" s="83"/>
      <c r="J10" s="131">
        <v>67.900000000000006</v>
      </c>
      <c r="K10" s="134">
        <v>55</v>
      </c>
      <c r="L10" s="88"/>
      <c r="M10" s="89"/>
      <c r="N10" s="107">
        <f>IF(E10="","",IF(MAXA(K10:M10)&lt;=0,0,MAXA(K10:M10)))</f>
        <v>55</v>
      </c>
      <c r="O10" s="134">
        <v>85</v>
      </c>
      <c r="P10" s="88"/>
      <c r="Q10" s="89"/>
      <c r="R10" s="107">
        <f>IF(E10="","",IF(MAXA(O10:Q10)&lt;=0,0,MAXA(O10:Q10)))</f>
        <v>85</v>
      </c>
      <c r="S10" s="90">
        <f>IF(E10="","",N10+R10)</f>
        <v>140</v>
      </c>
      <c r="T10" s="91" t="str">
        <f t="shared" si="2"/>
        <v>IRG + 10</v>
      </c>
      <c r="U10" s="91" t="str">
        <f>IF(E10=0," ",IF(E10="H",IF(G10&lt;=SENIORS_Min,VLOOKUP(J10,Minimas!$A$15:$F$29,6),IF(AND(G10&gt;=U20_Min,G10&lt;=U20_Max),VLOOKUP(J10,Minimas!$A$15:$F$29,5),IF(AND(G10&gt;=U17_Min,G10&lt;=U17_Max),VLOOKUP(J10,Minimas!$A$15:$F$29,4),IF(AND(G10&gt;=U15_Min,G10&lt;=U15_Max),VLOOKUP(J10,Minimas!$A$15:$F$29,3),VLOOKUP(J10,Minimas!$A$15:$F$29,2))))),IF(G10&lt;=SENIORS_Min,VLOOKUP(J10,Minimas!$G$15:$L$29,6),IF(AND(G10&gt;=U20_Min,G10&lt;=U20_Max),VLOOKUP(J10,Minimas!$G$15:$L$29,5),IF(AND(G10&gt;=U17_Min,G10&lt;=U17_Max),VLOOKUP(J10,Minimas!$G$15:$L$29,4),IF(AND(G10&gt;=U15_Min,G10&lt;=U15_Max),VLOOKUP(J10,Minimas!$G$15:$L$29,3),VLOOKUP(J10,Minimas!$G$15:$L$29,2)))))))</f>
        <v>SE F71</v>
      </c>
      <c r="V10" s="92">
        <f t="shared" si="0"/>
        <v>263.86514671670102</v>
      </c>
      <c r="Y10" s="139">
        <f>H22</f>
        <v>1367.949121846772</v>
      </c>
      <c r="Z10" s="34"/>
      <c r="AA10" s="54">
        <f>S10-HLOOKUP(U10,Minimas!$C$3:$CD$12,2,FALSE)</f>
        <v>65</v>
      </c>
      <c r="AB10" s="54">
        <f>S10-HLOOKUP(U10,Minimas!$C$3:$CD$12,3,FALSE)</f>
        <v>50</v>
      </c>
      <c r="AC10" s="54">
        <f>S10-HLOOKUP(U10,Minimas!$C$3:$CD$12,4,FALSE)</f>
        <v>33</v>
      </c>
      <c r="AD10" s="54">
        <f>S10-HLOOKUP(U10,Minimas!$C$3:$CD$12,5,FALSE)</f>
        <v>10</v>
      </c>
      <c r="AE10" s="54">
        <f>S10-HLOOKUP(U10,Minimas!$C$3:$CD$12,6,FALSE)</f>
        <v>-12</v>
      </c>
      <c r="AF10" s="54">
        <f>S10-HLOOKUP(U10,Minimas!$C$3:$CD$12,7,FALSE)</f>
        <v>-32</v>
      </c>
      <c r="AG10" s="54">
        <f>S10-HLOOKUP(U10,Minimas!$C$3:$CD$12,8,FALSE)</f>
        <v>-52</v>
      </c>
      <c r="AH10" s="54">
        <f>S10-HLOOKUP(U10,Minimas!$C$3:$CD$12,9,FALSE)</f>
        <v>-72</v>
      </c>
      <c r="AI10" s="54">
        <f>S10-HLOOKUP(U10,Minimas!$C$3:$CD$12,10,FALSE)</f>
        <v>-9859</v>
      </c>
      <c r="AJ10" s="55" t="str">
        <f>IF(E10=0," ",IF(AI10&gt;=0,$AI$5,IF(AH10&gt;=0,$AH$5,IF(AG10&gt;=0,$AG$5,IF(AF10&gt;=0,$AF$5,IF(AE10&gt;=0,$AE$5,IF(AD10&gt;=0,$AD$5,IF(AC10&gt;=0,$AC$5,IF(AB10&gt;=0,$AB$5,$AA$5)))))))))</f>
        <v>IRG +</v>
      </c>
      <c r="AK10" s="34"/>
      <c r="AL10" s="34" t="str">
        <f t="shared" ref="AL10:AL11" si="4">IF(AJ10="","",AJ10)</f>
        <v>IRG +</v>
      </c>
      <c r="AM10" s="34">
        <f>IF(E10=0," ",IF(AI10&gt;=0,AI10,IF(AH10&gt;=0,AH10,IF(AG10&gt;=0,AG10,IF(AF10&gt;=0,AF10,IF(AE10&gt;=0,AE10,IF(AD10&gt;=0,AD10,IF(AC10&gt;=0,AC10,IF(AB10&gt;=0,AB10,AA10)))))))))</f>
        <v>10</v>
      </c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</row>
    <row r="11" spans="1:123" s="5" customFormat="1" ht="34.950000000000003" customHeight="1" thickBot="1">
      <c r="B11" s="154"/>
      <c r="C11" s="93"/>
      <c r="D11" s="157"/>
      <c r="E11" s="94" t="s">
        <v>135</v>
      </c>
      <c r="F11" s="95"/>
      <c r="G11" s="138"/>
      <c r="H11" s="162">
        <f>SUM(V7:V11)</f>
        <v>1363.8468290168657</v>
      </c>
      <c r="I11" s="94"/>
      <c r="J11" s="132">
        <v>66.8</v>
      </c>
      <c r="K11" s="135">
        <v>58</v>
      </c>
      <c r="L11" s="99"/>
      <c r="M11" s="100"/>
      <c r="N11" s="108">
        <f>IF(E11="","",IF(MAXA(K11:M11)&lt;=0,0,MAXA(K11:M11)))</f>
        <v>58</v>
      </c>
      <c r="O11" s="135">
        <v>81</v>
      </c>
      <c r="P11" s="99"/>
      <c r="Q11" s="100"/>
      <c r="R11" s="108">
        <f>IF(E11="","",IF(MAXA(O11:Q11)&lt;=0,0,MAXA(O11:Q11)))</f>
        <v>81</v>
      </c>
      <c r="S11" s="101">
        <f>IF(E11="","",N11+R11)</f>
        <v>139</v>
      </c>
      <c r="T11" s="102" t="str">
        <f>+CONCATENATE(AL11," ",AM11)</f>
        <v>IRG + 9</v>
      </c>
      <c r="U11" s="102" t="str">
        <f>IF(E11=0," ",IF(E11="H",IF(G11&lt;=SENIORS_Min,VLOOKUP(J11,Minimas!$A$15:$F$29,6),IF(AND(G11&gt;=U20_Min,G11&lt;=U20_Max),VLOOKUP(J11,Minimas!$A$15:$F$29,5),IF(AND(G11&gt;=U17_Min,G11&lt;=U17_Max),VLOOKUP(J11,Minimas!$A$15:$F$29,4),IF(AND(G11&gt;=U15_Min,G11&lt;=U15_Max),VLOOKUP(J11,Minimas!$A$15:$F$29,3),VLOOKUP(J11,Minimas!$A$15:$F$29,2))))),IF(G11&lt;=SENIORS_Min,VLOOKUP(J11,Minimas!$G$15:$L$29,6),IF(AND(G11&gt;=U20_Min,G11&lt;=U20_Max),VLOOKUP(J11,Minimas!$G$15:$L$29,5),IF(AND(G11&gt;=U17_Min,G11&lt;=U17_Max),VLOOKUP(J11,Minimas!$G$15:$L$29,4),IF(AND(G11&gt;=U15_Min,G11&lt;=U15_Max),VLOOKUP(J11,Minimas!$G$15:$L$29,3),VLOOKUP(J11,Minimas!$G$15:$L$29,2)))))))</f>
        <v>SE F71</v>
      </c>
      <c r="V11" s="119">
        <f t="shared" si="0"/>
        <v>264.4061510445822</v>
      </c>
      <c r="Y11" s="139">
        <f>H28</f>
        <v>1349.4599039641218</v>
      </c>
      <c r="Z11" s="34"/>
      <c r="AA11" s="54">
        <f>S11-HLOOKUP(U11,Minimas!$C$3:$CD$12,2,FALSE)</f>
        <v>64</v>
      </c>
      <c r="AB11" s="54">
        <f>S11-HLOOKUP(U11,Minimas!$C$3:$CD$12,3,FALSE)</f>
        <v>49</v>
      </c>
      <c r="AC11" s="54">
        <f>S11-HLOOKUP(U11,Minimas!$C$3:$CD$12,4,FALSE)</f>
        <v>32</v>
      </c>
      <c r="AD11" s="54">
        <f>S11-HLOOKUP(U11,Minimas!$C$3:$CD$12,5,FALSE)</f>
        <v>9</v>
      </c>
      <c r="AE11" s="54">
        <f>S11-HLOOKUP(U11,Minimas!$C$3:$CD$12,6,FALSE)</f>
        <v>-13</v>
      </c>
      <c r="AF11" s="54">
        <f>S11-HLOOKUP(U11,Minimas!$C$3:$CD$12,7,FALSE)</f>
        <v>-33</v>
      </c>
      <c r="AG11" s="54">
        <f>S11-HLOOKUP(U11,Minimas!$C$3:$CD$12,8,FALSE)</f>
        <v>-53</v>
      </c>
      <c r="AH11" s="54">
        <f>S11-HLOOKUP(U11,Minimas!$C$3:$CD$12,9,FALSE)</f>
        <v>-73</v>
      </c>
      <c r="AI11" s="54">
        <f>S11-HLOOKUP(U11,Minimas!$C$3:$CD$12,10,FALSE)</f>
        <v>-9860</v>
      </c>
      <c r="AJ11" s="55" t="str">
        <f>IF(E11=0," ",IF(AI11&gt;=0,$AI$5,IF(AH11&gt;=0,$AH$5,IF(AG11&gt;=0,$AG$5,IF(AF11&gt;=0,$AF$5,IF(AE11&gt;=0,$AE$5,IF(AD11&gt;=0,$AD$5,IF(AC11&gt;=0,$AC$5,IF(AB11&gt;=0,$AB$5,$AA$5)))))))))</f>
        <v>IRG +</v>
      </c>
      <c r="AK11" s="34"/>
      <c r="AL11" s="34" t="str">
        <f t="shared" si="4"/>
        <v>IRG +</v>
      </c>
      <c r="AM11" s="34">
        <f>IF(E11=0," ",IF(AI11&gt;=0,AI11,IF(AH11&gt;=0,AH11,IF(AG11&gt;=0,AG11,IF(AF11&gt;=0,AF11,IF(AE11&gt;=0,AE11,IF(AD11&gt;=0,AD11,IF(AC11&gt;=0,AC11,IF(AB11&gt;=0,AB11,AA11)))))))))</f>
        <v>9</v>
      </c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</row>
    <row r="12" spans="1:123" s="8" customFormat="1" ht="5.0999999999999996" customHeight="1" thickBot="1">
      <c r="A12" s="7"/>
      <c r="B12" s="57"/>
      <c r="C12" s="58"/>
      <c r="D12" s="59"/>
      <c r="E12" s="60"/>
      <c r="F12" s="68"/>
      <c r="G12" s="61"/>
      <c r="H12" s="62"/>
      <c r="I12" s="63"/>
      <c r="J12" s="64"/>
      <c r="K12" s="65"/>
      <c r="L12" s="65"/>
      <c r="M12" s="65"/>
      <c r="N12" s="66"/>
      <c r="O12" s="65"/>
      <c r="P12" s="65"/>
      <c r="Q12" s="65"/>
      <c r="R12" s="66"/>
      <c r="S12" s="104"/>
      <c r="T12" s="105"/>
      <c r="U12" s="105"/>
      <c r="V12" s="81"/>
      <c r="W12" s="6"/>
      <c r="X12" s="6"/>
      <c r="Y12" s="140">
        <f>H34</f>
        <v>1267.6161930056251</v>
      </c>
      <c r="Z12" s="32"/>
      <c r="AA12" s="53" t="s">
        <v>31</v>
      </c>
      <c r="AB12" s="53" t="s">
        <v>32</v>
      </c>
      <c r="AC12" s="53" t="s">
        <v>33</v>
      </c>
      <c r="AD12" s="53" t="s">
        <v>34</v>
      </c>
      <c r="AE12" s="53" t="s">
        <v>35</v>
      </c>
      <c r="AF12" s="53" t="s">
        <v>36</v>
      </c>
      <c r="AG12" s="53" t="s">
        <v>37</v>
      </c>
      <c r="AH12" s="53" t="s">
        <v>38</v>
      </c>
      <c r="AI12" s="53" t="s">
        <v>39</v>
      </c>
      <c r="AJ12" s="53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</row>
    <row r="13" spans="1:123" s="5" customFormat="1" ht="34.950000000000003" customHeight="1">
      <c r="B13" s="151" t="s">
        <v>137</v>
      </c>
      <c r="C13" s="71"/>
      <c r="D13" s="163">
        <f>IF(H16="","",RANK(H16,$Y$8:$Y$13,0))</f>
        <v>4</v>
      </c>
      <c r="E13" s="72" t="s">
        <v>135</v>
      </c>
      <c r="F13" s="73"/>
      <c r="G13" s="74" t="s">
        <v>136</v>
      </c>
      <c r="H13" s="158"/>
      <c r="I13" s="72"/>
      <c r="J13" s="75">
        <v>69</v>
      </c>
      <c r="K13" s="76">
        <v>90</v>
      </c>
      <c r="L13" s="77"/>
      <c r="M13" s="78"/>
      <c r="N13" s="106">
        <f>IF(E13="","",IF(MAXA(K13:M13)&lt;=0,0,MAXA(K13:M13)))</f>
        <v>90</v>
      </c>
      <c r="O13" s="76">
        <v>115</v>
      </c>
      <c r="P13" s="77"/>
      <c r="Q13" s="78"/>
      <c r="R13" s="106">
        <f>IF(E13="","",IF(MAXA(O13:Q13)&lt;=0,0,MAXA(O13:Q13)))</f>
        <v>115</v>
      </c>
      <c r="S13" s="79">
        <f>IF(E13="","",N13+R13)</f>
        <v>205</v>
      </c>
      <c r="T13" s="80" t="e">
        <f>+CONCATENATE(AL13," ",AM13)</f>
        <v>#N/A</v>
      </c>
      <c r="U13" s="80" t="str">
        <f>IF(E13=0," ",IF(E13="H",IF(G13&lt;=SENIORS_Min,VLOOKUP(J13,Minimas!$A$15:$F$29,6),IF(AND(G13&gt;=U20_Min,G13&lt;=U20_Max),VLOOKUP(J13,Minimas!$A$15:$F$29,5),IF(AND(G13&gt;=U17_Min,G13&lt;=U17_Max),VLOOKUP(J13,Minimas!$A$15:$F$29,4),IF(AND(G13&gt;=U15_Min,G13&lt;=U15_Max),VLOOKUP(J13,Minimas!$A$15:$F$29,3),VLOOKUP(J13,Minimas!$A$15:$F$29,2))))),IF(G13&lt;=SENIORS_Min,VLOOKUP(J13,Minimas!$G$15:$L$29,6),IF(AND(G13&gt;=U20_Min,G13&lt;=U20_Max),VLOOKUP(J13,Minimas!$G$15:$L$29,5),IF(AND(G13&gt;=U17_Min,G13&lt;=U17_Max),VLOOKUP(J13,Minimas!$G$15:$L$29,4),IF(AND(G13&gt;=U15_Min,G13&lt;=U15_Max),VLOOKUP(J13,Minimas!$G$15:$L$29,3),VLOOKUP(J13,Minimas!$G$15:$L$29,2)))))))</f>
        <v>NON</v>
      </c>
      <c r="V13" s="81">
        <f>IF(E13=" "," ",IF(E13="H",10^(0.722762521*LOG(J13/193.609)^2)*S13,IF(E13="F",10^(0.787004341* LOG(J13/153.757)^2)*S13*1.5,"")))</f>
        <v>382.9540961285461</v>
      </c>
      <c r="Y13" s="139">
        <f>H34</f>
        <v>1267.6161930056251</v>
      </c>
      <c r="Z13" s="34"/>
      <c r="AA13" s="54" t="e">
        <f>S13-HLOOKUP(U13,Minimas!$C$3:$CD$12,2,FALSE)</f>
        <v>#N/A</v>
      </c>
      <c r="AB13" s="54" t="e">
        <f>S13-HLOOKUP(U13,Minimas!$C$3:$CD$12,3,FALSE)</f>
        <v>#N/A</v>
      </c>
      <c r="AC13" s="54" t="e">
        <f>S13-HLOOKUP(U13,Minimas!$C$3:$CD$12,4,FALSE)</f>
        <v>#N/A</v>
      </c>
      <c r="AD13" s="54" t="e">
        <f>S13-HLOOKUP(U13,Minimas!$C$3:$CD$12,5,FALSE)</f>
        <v>#N/A</v>
      </c>
      <c r="AE13" s="54" t="e">
        <f>S13-HLOOKUP(U13,Minimas!$C$3:$CD$12,6,FALSE)</f>
        <v>#N/A</v>
      </c>
      <c r="AF13" s="54" t="e">
        <f>S13-HLOOKUP(U13,Minimas!$C$3:$CD$12,7,FALSE)</f>
        <v>#N/A</v>
      </c>
      <c r="AG13" s="54" t="e">
        <f>S13-HLOOKUP(U13,Minimas!$C$3:$CD$12,8,FALSE)</f>
        <v>#N/A</v>
      </c>
      <c r="AH13" s="54" t="e">
        <f>S13-HLOOKUP(U13,Minimas!$C$3:$CD$12,9,FALSE)</f>
        <v>#N/A</v>
      </c>
      <c r="AI13" s="54" t="e">
        <f>S13-HLOOKUP(U13,Minimas!$C$3:$CD$12,10,FALSE)</f>
        <v>#N/A</v>
      </c>
      <c r="AJ13" s="55" t="e">
        <f>IF(E13=0," ",IF(AI13&gt;=0,$AI$5,IF(AH13&gt;=0,$AH$5,IF(AG13&gt;=0,$AG$5,IF(AF13&gt;=0,$AF$5,IF(AE13&gt;=0,$AE$5,IF(AD13&gt;=0,$AD$5,IF(AC13&gt;=0,$AC$5,IF(AB13&gt;=0,$AB$5,$AA$5)))))))))</f>
        <v>#N/A</v>
      </c>
      <c r="AK13" s="34"/>
      <c r="AL13" s="34" t="e">
        <f t="shared" ref="AL13:AL35" si="5">IF(AJ13="","",AJ13)</f>
        <v>#N/A</v>
      </c>
      <c r="AM13" s="34" t="e">
        <f>IF(E13=0," ",IF(AI13&gt;=0,AI13,IF(AH13&gt;=0,AH13,IF(AG13&gt;=0,AG13,IF(AF13&gt;=0,AF13,IF(AE13&gt;=0,AE13,IF(AD13&gt;=0,AD13,IF(AC13&gt;=0,AC13,IF(AB13&gt;=0,AB13,AA13)))))))))</f>
        <v>#N/A</v>
      </c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</row>
    <row r="14" spans="1:123" s="5" customFormat="1" ht="34.950000000000003" customHeight="1">
      <c r="B14" s="152"/>
      <c r="C14" s="82"/>
      <c r="D14" s="163"/>
      <c r="E14" s="83" t="s">
        <v>134</v>
      </c>
      <c r="F14" s="84"/>
      <c r="G14" s="85"/>
      <c r="H14" s="159"/>
      <c r="I14" s="83"/>
      <c r="J14" s="86">
        <v>65</v>
      </c>
      <c r="K14" s="87">
        <v>65</v>
      </c>
      <c r="L14" s="88"/>
      <c r="M14" s="89"/>
      <c r="N14" s="107">
        <f>IF(E14="","",IF(MAXA(K14:M14)&lt;=0,0,MAXA(K14:M14)))</f>
        <v>65</v>
      </c>
      <c r="O14" s="87">
        <v>80</v>
      </c>
      <c r="P14" s="88"/>
      <c r="Q14" s="89"/>
      <c r="R14" s="107">
        <f>IF(E14="","",IF(MAXA(O14:Q14)&lt;=0,0,MAXA(O14:Q14)))</f>
        <v>80</v>
      </c>
      <c r="S14" s="90">
        <f>IF(E14="","",N14+R14)</f>
        <v>145</v>
      </c>
      <c r="T14" s="91" t="str">
        <f>+CONCATENATE(AL14," ",AM14)</f>
        <v>DPT + 0</v>
      </c>
      <c r="U14" s="91" t="str">
        <f>IF(E14=0," ",IF(E14="H",IF(G14&lt;=SENIORS_Min,VLOOKUP(J14,Minimas!$A$15:$F$29,6),IF(AND(G14&gt;=U20_Min,G14&lt;=U20_Max),VLOOKUP(J14,Minimas!$A$15:$F$29,5),IF(AND(G14&gt;=U17_Min,G14&lt;=U17_Max),VLOOKUP(J14,Minimas!$A$15:$F$29,4),IF(AND(G14&gt;=U15_Min,G14&lt;=U15_Max),VLOOKUP(J14,Minimas!$A$15:$F$29,3),VLOOKUP(J14,Minimas!$A$15:$F$29,2))))),IF(G14&lt;=SENIORS_Min,VLOOKUP(J14,Minimas!$G$15:$L$29,6),IF(AND(G14&gt;=U20_Min,G14&lt;=U20_Max),VLOOKUP(J14,Minimas!$G$15:$L$29,5),IF(AND(G14&gt;=U17_Min,G14&lt;=U17_Max),VLOOKUP(J14,Minimas!$G$15:$L$29,4),IF(AND(G14&gt;=U15_Min,G14&lt;=U15_Max),VLOOKUP(J14,Minimas!$G$15:$L$29,3),VLOOKUP(J14,Minimas!$G$15:$L$29,2)))))))</f>
        <v>SE M67</v>
      </c>
      <c r="V14" s="92">
        <f t="shared" si="0"/>
        <v>210.7481366860238</v>
      </c>
      <c r="Z14" s="34"/>
      <c r="AA14" s="54">
        <f>S14-HLOOKUP(U14,Minimas!$C$3:$CD$12,2,FALSE)</f>
        <v>20</v>
      </c>
      <c r="AB14" s="54">
        <f>S14-HLOOKUP(U14,Minimas!$C$3:$CD$12,3,FALSE)</f>
        <v>0</v>
      </c>
      <c r="AC14" s="54">
        <f>S14-HLOOKUP(U14,Minimas!$C$3:$CD$12,4,FALSE)</f>
        <v>-25</v>
      </c>
      <c r="AD14" s="54">
        <f>S14-HLOOKUP(U14,Minimas!$C$3:$CD$12,5,FALSE)</f>
        <v>-50</v>
      </c>
      <c r="AE14" s="54">
        <f>S14-HLOOKUP(U14,Minimas!$C$3:$CD$12,6,FALSE)</f>
        <v>-80</v>
      </c>
      <c r="AF14" s="54">
        <f>S14-HLOOKUP(U14,Minimas!$C$3:$CD$12,7,FALSE)</f>
        <v>-95</v>
      </c>
      <c r="AG14" s="54">
        <f>S14-HLOOKUP(U14,Minimas!$C$3:$CD$12,8,FALSE)</f>
        <v>-125</v>
      </c>
      <c r="AH14" s="54">
        <f>S14-HLOOKUP(U14,Minimas!$C$3:$CD$12,9,FALSE)</f>
        <v>-150</v>
      </c>
      <c r="AI14" s="54">
        <f>S14-HLOOKUP(U14,Minimas!$C$3:$CD$12,10,FALSE)</f>
        <v>-9854</v>
      </c>
      <c r="AJ14" s="55" t="str">
        <f>IF(E14=0," ",IF(AI14&gt;=0,$AI$5,IF(AH14&gt;=0,$AH$5,IF(AG14&gt;=0,$AG$5,IF(AF14&gt;=0,$AF$5,IF(AE14&gt;=0,$AE$5,IF(AD14&gt;=0,$AD$5,IF(AC14&gt;=0,$AC$5,IF(AB14&gt;=0,$AB$5,$AA$5)))))))))</f>
        <v>DPT +</v>
      </c>
      <c r="AK14" s="34"/>
      <c r="AL14" s="34" t="str">
        <f t="shared" si="5"/>
        <v>DPT +</v>
      </c>
      <c r="AM14" s="34">
        <f>IF(E14=0," ",IF(AI14&gt;=0,AI14,IF(AH14&gt;=0,AH14,IF(AG14&gt;=0,AG14,IF(AF14&gt;=0,AF14,IF(AE14&gt;=0,AE14,IF(AD14&gt;=0,AD14,IF(AC14&gt;=0,AC14,IF(AB14&gt;=0,AB14,AA14)))))))))</f>
        <v>0</v>
      </c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</row>
    <row r="15" spans="1:123" s="5" customFormat="1" ht="34.950000000000003" customHeight="1">
      <c r="B15" s="153"/>
      <c r="C15" s="82"/>
      <c r="D15" s="163"/>
      <c r="E15" s="83" t="s">
        <v>134</v>
      </c>
      <c r="F15" s="84"/>
      <c r="G15" s="85"/>
      <c r="H15" s="160"/>
      <c r="I15" s="83"/>
      <c r="J15" s="86">
        <v>62</v>
      </c>
      <c r="K15" s="87">
        <v>70</v>
      </c>
      <c r="L15" s="88"/>
      <c r="M15" s="89"/>
      <c r="N15" s="107">
        <f>IF(E15="","",IF(MAXA(K15:M15)&lt;=0,0,MAXA(K15:M15)))</f>
        <v>70</v>
      </c>
      <c r="O15" s="87">
        <v>90</v>
      </c>
      <c r="P15" s="88"/>
      <c r="Q15" s="89"/>
      <c r="R15" s="107">
        <f>IF(E15="","",IF(MAXA(O15:Q15)&lt;=0,0,MAXA(O15:Q15)))</f>
        <v>90</v>
      </c>
      <c r="S15" s="90">
        <f>IF(E15="","",N15+R15)</f>
        <v>160</v>
      </c>
      <c r="T15" s="91" t="str">
        <f t="shared" ref="T15:T16" si="6">+CONCATENATE(AL15," ",AM15)</f>
        <v>DPT + 15</v>
      </c>
      <c r="U15" s="91" t="str">
        <f>IF(E15=0," ",IF(E15="H",IF(G15&lt;=SENIORS_Min,VLOOKUP(J15,Minimas!$A$15:$F$29,6),IF(AND(G15&gt;=U20_Min,G15&lt;=U20_Max),VLOOKUP(J15,Minimas!$A$15:$F$29,5),IF(AND(G15&gt;=U17_Min,G15&lt;=U17_Max),VLOOKUP(J15,Minimas!$A$15:$F$29,4),IF(AND(G15&gt;=U15_Min,G15&lt;=U15_Max),VLOOKUP(J15,Minimas!$A$15:$F$29,3),VLOOKUP(J15,Minimas!$A$15:$F$29,2))))),IF(G15&lt;=SENIORS_Min,VLOOKUP(J15,Minimas!$G$15:$L$29,6),IF(AND(G15&gt;=U20_Min,G15&lt;=U20_Max),VLOOKUP(J15,Minimas!$G$15:$L$29,5),IF(AND(G15&gt;=U17_Min,G15&lt;=U17_Max),VLOOKUP(J15,Minimas!$G$15:$L$29,4),IF(AND(G15&gt;=U15_Min,G15&lt;=U15_Max),VLOOKUP(J15,Minimas!$G$15:$L$29,3),VLOOKUP(J15,Minimas!$G$15:$L$29,2)))))))</f>
        <v>SE M67</v>
      </c>
      <c r="V15" s="92">
        <f t="shared" si="0"/>
        <v>240.37067413808202</v>
      </c>
      <c r="Z15" s="34"/>
      <c r="AA15" s="54">
        <f>S15-HLOOKUP(U15,Minimas!$C$3:$CD$12,2,FALSE)</f>
        <v>35</v>
      </c>
      <c r="AB15" s="54">
        <f>S15-HLOOKUP(U15,Minimas!$C$3:$CD$12,3,FALSE)</f>
        <v>15</v>
      </c>
      <c r="AC15" s="54">
        <f>S15-HLOOKUP(U15,Minimas!$C$3:$CD$12,4,FALSE)</f>
        <v>-10</v>
      </c>
      <c r="AD15" s="54">
        <f>S15-HLOOKUP(U15,Minimas!$C$3:$CD$12,5,FALSE)</f>
        <v>-35</v>
      </c>
      <c r="AE15" s="54">
        <f>S15-HLOOKUP(U15,Minimas!$C$3:$CD$12,6,FALSE)</f>
        <v>-65</v>
      </c>
      <c r="AF15" s="54">
        <f>S15-HLOOKUP(U15,Minimas!$C$3:$CD$12,7,FALSE)</f>
        <v>-80</v>
      </c>
      <c r="AG15" s="54">
        <f>S15-HLOOKUP(U15,Minimas!$C$3:$CD$12,8,FALSE)</f>
        <v>-110</v>
      </c>
      <c r="AH15" s="54">
        <f>S15-HLOOKUP(U15,Minimas!$C$3:$CD$12,9,FALSE)</f>
        <v>-135</v>
      </c>
      <c r="AI15" s="54">
        <f>S15-HLOOKUP(U15,Minimas!$C$3:$CD$12,10,FALSE)</f>
        <v>-9839</v>
      </c>
      <c r="AJ15" s="55" t="str">
        <f>IF(E15=0," ",IF(AI15&gt;=0,$AI$5,IF(AH15&gt;=0,$AH$5,IF(AG15&gt;=0,$AG$5,IF(AF15&gt;=0,$AF$5,IF(AE15&gt;=0,$AE$5,IF(AD15&gt;=0,$AD$5,IF(AC15&gt;=0,$AC$5,IF(AB15&gt;=0,$AB$5,$AA$5)))))))))</f>
        <v>DPT +</v>
      </c>
      <c r="AK15" s="34"/>
      <c r="AL15" s="34" t="str">
        <f t="shared" si="5"/>
        <v>DPT +</v>
      </c>
      <c r="AM15" s="34">
        <f>IF(E15=0," ",IF(AI15&gt;=0,AI15,IF(AH15&gt;=0,AH15,IF(AG15&gt;=0,AG15,IF(AF15&gt;=0,AF15,IF(AE15&gt;=0,AE15,IF(AD15&gt;=0,AD15,IF(AC15&gt;=0,AC15,IF(AB15&gt;=0,AB15,AA15)))))))))</f>
        <v>15</v>
      </c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</row>
    <row r="16" spans="1:123" s="5" customFormat="1" ht="34.950000000000003" customHeight="1">
      <c r="B16" s="153"/>
      <c r="C16" s="82"/>
      <c r="D16" s="163"/>
      <c r="E16" s="83" t="s">
        <v>134</v>
      </c>
      <c r="F16" s="84"/>
      <c r="G16" s="85"/>
      <c r="H16" s="161">
        <f>SUM(V13:V17)</f>
        <v>1290.1509437060702</v>
      </c>
      <c r="I16" s="83" t="s">
        <v>41</v>
      </c>
      <c r="J16" s="86">
        <v>82</v>
      </c>
      <c r="K16" s="87">
        <v>55</v>
      </c>
      <c r="L16" s="88"/>
      <c r="M16" s="89"/>
      <c r="N16" s="107">
        <f>IF(E16="","",IF(MAXA(K16:M16)&lt;=0,0,MAXA(K16:M16)))</f>
        <v>55</v>
      </c>
      <c r="O16" s="87">
        <v>75</v>
      </c>
      <c r="P16" s="88"/>
      <c r="Q16" s="89"/>
      <c r="R16" s="107">
        <f>IF(E16="","",IF(MAXA(O16:Q16)&lt;=0,0,MAXA(O16:Q16)))</f>
        <v>75</v>
      </c>
      <c r="S16" s="90">
        <f>IF(E16="","",N16+R16)</f>
        <v>130</v>
      </c>
      <c r="T16" s="91" t="str">
        <f t="shared" si="6"/>
        <v>DEB -20</v>
      </c>
      <c r="U16" s="91" t="str">
        <f>IF(E16=0," ",IF(E16="H",IF(G16&lt;=SENIORS_Min,VLOOKUP(J16,Minimas!$A$15:$F$29,6),IF(AND(G16&gt;=U20_Min,G16&lt;=U20_Max),VLOOKUP(J16,Minimas!$A$15:$F$29,5),IF(AND(G16&gt;=U17_Min,G16&lt;=U17_Max),VLOOKUP(J16,Minimas!$A$15:$F$29,4),IF(AND(G16&gt;=U15_Min,G16&lt;=U15_Max),VLOOKUP(J16,Minimas!$A$15:$F$29,3),VLOOKUP(J16,Minimas!$A$15:$F$29,2))))),IF(G16&lt;=SENIORS_Min,VLOOKUP(J16,Minimas!$G$15:$L$29,6),IF(AND(G16&gt;=U20_Min,G16&lt;=U20_Max),VLOOKUP(J16,Minimas!$G$15:$L$29,5),IF(AND(G16&gt;=U17_Min,G16&lt;=U17_Max),VLOOKUP(J16,Minimas!$G$15:$L$29,4),IF(AND(G16&gt;=U15_Min,G16&lt;=U15_Max),VLOOKUP(J16,Minimas!$G$15:$L$29,3),VLOOKUP(J16,Minimas!$G$15:$L$29,2)))))))</f>
        <v>SE M89</v>
      </c>
      <c r="V16" s="92">
        <f t="shared" si="0"/>
        <v>163.89315246155539</v>
      </c>
      <c r="Z16" s="34"/>
      <c r="AA16" s="54">
        <f>S16-HLOOKUP(U16,Minimas!$C$3:$CD$12,2,FALSE)</f>
        <v>-20</v>
      </c>
      <c r="AB16" s="54">
        <f>S16-HLOOKUP(U16,Minimas!$C$3:$CD$12,3,FALSE)</f>
        <v>-45</v>
      </c>
      <c r="AC16" s="54">
        <f>S16-HLOOKUP(U16,Minimas!$C$3:$CD$12,4,FALSE)</f>
        <v>-70</v>
      </c>
      <c r="AD16" s="54">
        <f>S16-HLOOKUP(U16,Minimas!$C$3:$CD$12,5,FALSE)</f>
        <v>-100</v>
      </c>
      <c r="AE16" s="54">
        <f>S16-HLOOKUP(U16,Minimas!$C$3:$CD$12,6,FALSE)</f>
        <v>-130</v>
      </c>
      <c r="AF16" s="54">
        <f>S16-HLOOKUP(U16,Minimas!$C$3:$CD$12,7,FALSE)</f>
        <v>-157</v>
      </c>
      <c r="AG16" s="54">
        <f>S16-HLOOKUP(U16,Minimas!$C$3:$CD$12,8,FALSE)</f>
        <v>-190</v>
      </c>
      <c r="AH16" s="54">
        <f>S16-HLOOKUP(U16,Minimas!$C$3:$CD$12,9,FALSE)</f>
        <v>-220</v>
      </c>
      <c r="AI16" s="54">
        <f>S16-HLOOKUP(U16,Minimas!$C$3:$CD$12,10,FALSE)</f>
        <v>-9869</v>
      </c>
      <c r="AJ16" s="55" t="str">
        <f>IF(E16=0," ",IF(AI16&gt;=0,$AI$5,IF(AH16&gt;=0,$AH$5,IF(AG16&gt;=0,$AG$5,IF(AF16&gt;=0,$AF$5,IF(AE16&gt;=0,$AE$5,IF(AD16&gt;=0,$AD$5,IF(AC16&gt;=0,$AC$5,IF(AB16&gt;=0,$AB$5,$AA$5)))))))))</f>
        <v>DEB</v>
      </c>
      <c r="AK16" s="34"/>
      <c r="AL16" s="34" t="str">
        <f t="shared" si="5"/>
        <v>DEB</v>
      </c>
      <c r="AM16" s="34">
        <f>IF(E16=0," ",IF(AI16&gt;=0,AI16,IF(AH16&gt;=0,AH16,IF(AG16&gt;=0,AG16,IF(AF16&gt;=0,AF16,IF(AE16&gt;=0,AE16,IF(AD16&gt;=0,AD16,IF(AC16&gt;=0,AC16,IF(AB16&gt;=0,AB16,AA16)))))))))</f>
        <v>-20</v>
      </c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</row>
    <row r="17" spans="1:123" s="5" customFormat="1" ht="34.950000000000003" customHeight="1" thickBot="1">
      <c r="B17" s="154"/>
      <c r="C17" s="93"/>
      <c r="D17" s="164"/>
      <c r="E17" s="94" t="s">
        <v>135</v>
      </c>
      <c r="F17" s="95"/>
      <c r="G17" s="96"/>
      <c r="H17" s="162">
        <f>SUM(V13:V17)</f>
        <v>1290.1509437060702</v>
      </c>
      <c r="I17" s="94" t="s">
        <v>41</v>
      </c>
      <c r="J17" s="97">
        <v>72</v>
      </c>
      <c r="K17" s="98">
        <v>70</v>
      </c>
      <c r="L17" s="99"/>
      <c r="M17" s="100"/>
      <c r="N17" s="108">
        <f>IF(E17="","",IF(MAXA(K17:M17)&lt;=0,0,MAXA(K17:M17)))</f>
        <v>70</v>
      </c>
      <c r="O17" s="98">
        <v>90</v>
      </c>
      <c r="P17" s="99"/>
      <c r="Q17" s="100"/>
      <c r="R17" s="108">
        <f>IF(E17="","",IF(MAXA(O17:Q17)&lt;=0,0,MAXA(O17:Q17)))</f>
        <v>90</v>
      </c>
      <c r="S17" s="101">
        <f>IF(E17="","",N17+R17)</f>
        <v>160</v>
      </c>
      <c r="T17" s="102" t="str">
        <f>+CONCATENATE(AL17," ",AM17)</f>
        <v>FED + 5</v>
      </c>
      <c r="U17" s="102" t="str">
        <f>IF(E17=0," ",IF(E17="H",IF(G17&lt;=SENIORS_Min,VLOOKUP(J17,Minimas!$A$15:$F$29,6),IF(AND(G17&gt;=U20_Min,G17&lt;=U20_Max),VLOOKUP(J17,Minimas!$A$15:$F$29,5),IF(AND(G17&gt;=U17_Min,G17&lt;=U17_Max),VLOOKUP(J17,Minimas!$A$15:$F$29,4),IF(AND(G17&gt;=U15_Min,G17&lt;=U15_Max),VLOOKUP(J17,Minimas!$A$15:$F$29,3),VLOOKUP(J17,Minimas!$A$15:$F$29,2))))),IF(G17&lt;=SENIORS_Min,VLOOKUP(J17,Minimas!$G$15:$L$29,6),IF(AND(G17&gt;=U20_Min,G17&lt;=U20_Max),VLOOKUP(J17,Minimas!$G$15:$L$29,5),IF(AND(G17&gt;=U17_Min,G17&lt;=U17_Max),VLOOKUP(J17,Minimas!$G$15:$L$29,4),IF(AND(G17&gt;=U15_Min,G17&lt;=U15_Max),VLOOKUP(J17,Minimas!$G$15:$L$29,3),VLOOKUP(J17,Minimas!$G$15:$L$29,2)))))))</f>
        <v>SE F76</v>
      </c>
      <c r="V17" s="103">
        <f t="shared" si="0"/>
        <v>292.18488429186294</v>
      </c>
      <c r="Z17" s="34"/>
      <c r="AA17" s="54">
        <f>S17-HLOOKUP(U17,Minimas!$C$3:$CD$12,2,FALSE)</f>
        <v>80</v>
      </c>
      <c r="AB17" s="54">
        <f>S17-HLOOKUP(U17,Minimas!$C$3:$CD$12,3,FALSE)</f>
        <v>65</v>
      </c>
      <c r="AC17" s="54">
        <f>S17-HLOOKUP(U17,Minimas!$C$3:$CD$12,4,FALSE)</f>
        <v>45</v>
      </c>
      <c r="AD17" s="54">
        <f>S17-HLOOKUP(U17,Minimas!$C$3:$CD$12,5,FALSE)</f>
        <v>25</v>
      </c>
      <c r="AE17" s="54">
        <f>S17-HLOOKUP(U17,Minimas!$C$3:$CD$12,6,FALSE)</f>
        <v>5</v>
      </c>
      <c r="AF17" s="54">
        <f>S17-HLOOKUP(U17,Minimas!$C$3:$CD$12,7,FALSE)</f>
        <v>-16</v>
      </c>
      <c r="AG17" s="54">
        <f>S17-HLOOKUP(U17,Minimas!$C$3:$CD$12,8,FALSE)</f>
        <v>-36</v>
      </c>
      <c r="AH17" s="54">
        <f>S17-HLOOKUP(U17,Minimas!$C$3:$CD$12,9,FALSE)</f>
        <v>-56</v>
      </c>
      <c r="AI17" s="54">
        <f>S17-HLOOKUP(U17,Minimas!$C$3:$CD$12,10,FALSE)</f>
        <v>-9839</v>
      </c>
      <c r="AJ17" s="55" t="str">
        <f>IF(E17=0," ",IF(AI17&gt;=0,$AI$5,IF(AH17&gt;=0,$AH$5,IF(AG17&gt;=0,$AG$5,IF(AF17&gt;=0,$AF$5,IF(AE17&gt;=0,$AE$5,IF(AD17&gt;=0,$AD$5,IF(AC17&gt;=0,$AC$5,IF(AB17&gt;=0,$AB$5,$AA$5)))))))))</f>
        <v>FED +</v>
      </c>
      <c r="AK17" s="34"/>
      <c r="AL17" s="34" t="str">
        <f t="shared" si="5"/>
        <v>FED +</v>
      </c>
      <c r="AM17" s="34">
        <f>IF(E17=0," ",IF(AI17&gt;=0,AI17,IF(AH17&gt;=0,AH17,IF(AG17&gt;=0,AG17,IF(AF17&gt;=0,AF17,IF(AE17&gt;=0,AE17,IF(AD17&gt;=0,AD17,IF(AC17&gt;=0,AC17,IF(AB17&gt;=0,AB17,AA17)))))))))</f>
        <v>5</v>
      </c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</row>
    <row r="18" spans="1:123" s="5" customFormat="1" ht="8.4" customHeight="1" thickBot="1">
      <c r="B18" s="120"/>
      <c r="C18" s="16"/>
      <c r="D18" s="121"/>
      <c r="E18" s="122"/>
      <c r="F18" s="123"/>
      <c r="G18" s="124"/>
      <c r="H18" s="122"/>
      <c r="I18" s="122"/>
      <c r="J18" s="125"/>
      <c r="K18" s="126"/>
      <c r="L18" s="126"/>
      <c r="M18" s="126"/>
      <c r="N18" s="127"/>
      <c r="O18" s="126"/>
      <c r="P18" s="126"/>
      <c r="Q18" s="126"/>
      <c r="R18" s="127"/>
      <c r="S18" s="128"/>
      <c r="T18" s="129"/>
      <c r="U18" s="129"/>
      <c r="V18" s="119"/>
      <c r="Z18" s="34"/>
      <c r="AA18" s="54"/>
      <c r="AB18" s="54"/>
      <c r="AC18" s="54"/>
      <c r="AD18" s="54"/>
      <c r="AE18" s="54"/>
      <c r="AF18" s="54"/>
      <c r="AG18" s="54"/>
      <c r="AH18" s="54"/>
      <c r="AI18" s="54"/>
      <c r="AJ18" s="55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</row>
    <row r="19" spans="1:123" s="5" customFormat="1" ht="34.950000000000003" customHeight="1">
      <c r="B19" s="151" t="s">
        <v>137</v>
      </c>
      <c r="C19" s="71"/>
      <c r="D19" s="155">
        <f>IF(H22="","",RANK(H22,$Y$8:$Y$13,0))</f>
        <v>1</v>
      </c>
      <c r="E19" s="72" t="s">
        <v>135</v>
      </c>
      <c r="F19" s="73"/>
      <c r="G19" s="74"/>
      <c r="H19" s="158"/>
      <c r="I19" s="72"/>
      <c r="J19" s="75">
        <v>69</v>
      </c>
      <c r="K19" s="76">
        <v>90</v>
      </c>
      <c r="L19" s="77"/>
      <c r="M19" s="78"/>
      <c r="N19" s="106">
        <f>IF(E19="","",IF(MAXA(K19:M19)&lt;=0,0,MAXA(K19:M19)))</f>
        <v>90</v>
      </c>
      <c r="O19" s="76">
        <v>115</v>
      </c>
      <c r="P19" s="77"/>
      <c r="Q19" s="78"/>
      <c r="R19" s="106">
        <f>IF(E19="","",IF(MAXA(O19:Q19)&lt;=0,0,MAXA(O19:Q19)))</f>
        <v>115</v>
      </c>
      <c r="S19" s="79">
        <f>IF(E19="","",N19+R19)</f>
        <v>205</v>
      </c>
      <c r="T19" s="80" t="str">
        <f>+CONCATENATE(AL19," ",AM19)</f>
        <v>INTB + 13</v>
      </c>
      <c r="U19" s="80" t="str">
        <f>IF(E19=0," ",IF(E19="H",IF(G19&lt;=SENIORS_Min,VLOOKUP(J19,Minimas!$A$15:$F$29,6),IF(AND(G19&gt;=U20_Min,G19&lt;=U20_Max),VLOOKUP(J19,Minimas!$A$15:$F$29,5),IF(AND(G19&gt;=U17_Min,G19&lt;=U17_Max),VLOOKUP(J19,Minimas!$A$15:$F$29,4),IF(AND(G19&gt;=U15_Min,G19&lt;=U15_Max),VLOOKUP(J19,Minimas!$A$15:$F$29,3),VLOOKUP(J19,Minimas!$A$15:$F$29,2))))),IF(G19&lt;=SENIORS_Min,VLOOKUP(J19,Minimas!$G$15:$L$29,6),IF(AND(G19&gt;=U20_Min,G19&lt;=U20_Max),VLOOKUP(J19,Minimas!$G$15:$L$29,5),IF(AND(G19&gt;=U17_Min,G19&lt;=U17_Max),VLOOKUP(J19,Minimas!$G$15:$L$29,4),IF(AND(G19&gt;=U15_Min,G19&lt;=U15_Max),VLOOKUP(J19,Minimas!$G$15:$L$29,3),VLOOKUP(J19,Minimas!$G$15:$L$29,2)))))))</f>
        <v>SE F71</v>
      </c>
      <c r="V19" s="81">
        <f>IF(E19=" "," ",IF(E19="H",10^(0.722762521*LOG(J19/193.609)^2)*S19,IF(E19="F",10^(0.787004341* LOG(J19/153.757)^2)*S19*1.5,"")))</f>
        <v>382.9540961285461</v>
      </c>
      <c r="Z19" s="34"/>
      <c r="AA19" s="54">
        <f>S19-HLOOKUP(U19,Minimas!$C$3:$CD$12,2,FALSE)</f>
        <v>130</v>
      </c>
      <c r="AB19" s="54">
        <f>S19-HLOOKUP(U19,Minimas!$C$3:$CD$12,3,FALSE)</f>
        <v>115</v>
      </c>
      <c r="AC19" s="54">
        <f>S19-HLOOKUP(U19,Minimas!$C$3:$CD$12,4,FALSE)</f>
        <v>98</v>
      </c>
      <c r="AD19" s="54">
        <f>S19-HLOOKUP(U19,Minimas!$C$3:$CD$12,5,FALSE)</f>
        <v>75</v>
      </c>
      <c r="AE19" s="54">
        <f>S19-HLOOKUP(U19,Minimas!$C$3:$CD$12,6,FALSE)</f>
        <v>53</v>
      </c>
      <c r="AF19" s="54">
        <f>S19-HLOOKUP(U19,Minimas!$C$3:$CD$12,7,FALSE)</f>
        <v>33</v>
      </c>
      <c r="AG19" s="54">
        <f>S19-HLOOKUP(U19,Minimas!$C$3:$CD$12,8,FALSE)</f>
        <v>13</v>
      </c>
      <c r="AH19" s="54">
        <f>S19-HLOOKUP(U19,Minimas!$C$3:$CD$12,9,FALSE)</f>
        <v>-7</v>
      </c>
      <c r="AI19" s="54">
        <f>S19-HLOOKUP(U19,Minimas!$C$3:$CD$12,10,FALSE)</f>
        <v>-9794</v>
      </c>
      <c r="AJ19" s="55" t="str">
        <f>IF(E19=0," ",IF(AI19&gt;=0,$AI$5,IF(AH19&gt;=0,$AH$5,IF(AG19&gt;=0,$AG$5,IF(AF19&gt;=0,$AF$5,IF(AE19&gt;=0,$AE$5,IF(AD19&gt;=0,$AD$5,IF(AC19&gt;=0,$AC$5,IF(AB19&gt;=0,$AB$5,$AA$5)))))))))</f>
        <v>INTB +</v>
      </c>
      <c r="AK19" s="34"/>
      <c r="AL19" s="34" t="str">
        <f t="shared" ref="AL19:AL23" si="7">IF(AJ19="","",AJ19)</f>
        <v>INTB +</v>
      </c>
      <c r="AM19" s="34">
        <f>IF(E19=0," ",IF(AI19&gt;=0,AI19,IF(AH19&gt;=0,AH19,IF(AG19&gt;=0,AG19,IF(AF19&gt;=0,AF19,IF(AE19&gt;=0,AE19,IF(AD19&gt;=0,AD19,IF(AC19&gt;=0,AC19,IF(AB19&gt;=0,AB19,AA19)))))))))</f>
        <v>13</v>
      </c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</row>
    <row r="20" spans="1:123" s="5" customFormat="1" ht="34.950000000000003" customHeight="1">
      <c r="B20" s="152"/>
      <c r="C20" s="82"/>
      <c r="D20" s="156"/>
      <c r="E20" s="83" t="s">
        <v>134</v>
      </c>
      <c r="F20" s="84"/>
      <c r="G20" s="85"/>
      <c r="H20" s="159"/>
      <c r="I20" s="83"/>
      <c r="J20" s="86">
        <v>65</v>
      </c>
      <c r="K20" s="87">
        <v>65</v>
      </c>
      <c r="L20" s="88"/>
      <c r="M20" s="89"/>
      <c r="N20" s="107">
        <f>IF(E20="","",IF(MAXA(K20:M20)&lt;=0,0,MAXA(K20:M20)))</f>
        <v>65</v>
      </c>
      <c r="O20" s="87">
        <v>80</v>
      </c>
      <c r="P20" s="88"/>
      <c r="Q20" s="89"/>
      <c r="R20" s="107">
        <f>IF(E20="","",IF(MAXA(O20:Q20)&lt;=0,0,MAXA(O20:Q20)))</f>
        <v>80</v>
      </c>
      <c r="S20" s="90">
        <f>IF(E20="","",N20+R20)</f>
        <v>145</v>
      </c>
      <c r="T20" s="91" t="str">
        <f>+CONCATENATE(AL20," ",AM20)</f>
        <v>DPT + 0</v>
      </c>
      <c r="U20" s="91" t="str">
        <f>IF(E20=0," ",IF(E20="H",IF(G20&lt;=SENIORS_Min,VLOOKUP(J20,Minimas!$A$15:$F$29,6),IF(AND(G20&gt;=U20_Min,G20&lt;=U20_Max),VLOOKUP(J20,Minimas!$A$15:$F$29,5),IF(AND(G20&gt;=U17_Min,G20&lt;=U17_Max),VLOOKUP(J20,Minimas!$A$15:$F$29,4),IF(AND(G20&gt;=U15_Min,G20&lt;=U15_Max),VLOOKUP(J20,Minimas!$A$15:$F$29,3),VLOOKUP(J20,Minimas!$A$15:$F$29,2))))),IF(G20&lt;=SENIORS_Min,VLOOKUP(J20,Minimas!$G$15:$L$29,6),IF(AND(G20&gt;=U20_Min,G20&lt;=U20_Max),VLOOKUP(J20,Minimas!$G$15:$L$29,5),IF(AND(G20&gt;=U17_Min,G20&lt;=U17_Max),VLOOKUP(J20,Minimas!$G$15:$L$29,4),IF(AND(G20&gt;=U15_Min,G20&lt;=U15_Max),VLOOKUP(J20,Minimas!$G$15:$L$29,3),VLOOKUP(J20,Minimas!$G$15:$L$29,2)))))))</f>
        <v>SE M67</v>
      </c>
      <c r="V20" s="92">
        <f t="shared" ref="V20:V23" si="8">IF(E20=" "," ",IF(E20="H",10^(0.722762521*LOG(J20/193.609)^2)*S20,IF(E20="F",10^(0.787004341* LOG(J20/153.757)^2)*S20*1.5,"")))</f>
        <v>210.7481366860238</v>
      </c>
      <c r="Z20" s="34"/>
      <c r="AA20" s="54">
        <f>S20-HLOOKUP(U20,Minimas!$C$3:$CD$12,2,FALSE)</f>
        <v>20</v>
      </c>
      <c r="AB20" s="54">
        <f>S20-HLOOKUP(U20,Minimas!$C$3:$CD$12,3,FALSE)</f>
        <v>0</v>
      </c>
      <c r="AC20" s="54">
        <f>S20-HLOOKUP(U20,Minimas!$C$3:$CD$12,4,FALSE)</f>
        <v>-25</v>
      </c>
      <c r="AD20" s="54">
        <f>S20-HLOOKUP(U20,Minimas!$C$3:$CD$12,5,FALSE)</f>
        <v>-50</v>
      </c>
      <c r="AE20" s="54">
        <f>S20-HLOOKUP(U20,Minimas!$C$3:$CD$12,6,FALSE)</f>
        <v>-80</v>
      </c>
      <c r="AF20" s="54">
        <f>S20-HLOOKUP(U20,Minimas!$C$3:$CD$12,7,FALSE)</f>
        <v>-95</v>
      </c>
      <c r="AG20" s="54">
        <f>S20-HLOOKUP(U20,Minimas!$C$3:$CD$12,8,FALSE)</f>
        <v>-125</v>
      </c>
      <c r="AH20" s="54">
        <f>S20-HLOOKUP(U20,Minimas!$C$3:$CD$12,9,FALSE)</f>
        <v>-150</v>
      </c>
      <c r="AI20" s="54">
        <f>S20-HLOOKUP(U20,Minimas!$C$3:$CD$12,10,FALSE)</f>
        <v>-9854</v>
      </c>
      <c r="AJ20" s="55" t="str">
        <f>IF(E20=0," ",IF(AI20&gt;=0,$AI$5,IF(AH20&gt;=0,$AH$5,IF(AG20&gt;=0,$AG$5,IF(AF20&gt;=0,$AF$5,IF(AE20&gt;=0,$AE$5,IF(AD20&gt;=0,$AD$5,IF(AC20&gt;=0,$AC$5,IF(AB20&gt;=0,$AB$5,$AA$5)))))))))</f>
        <v>DPT +</v>
      </c>
      <c r="AK20" s="34"/>
      <c r="AL20" s="34" t="str">
        <f t="shared" si="7"/>
        <v>DPT +</v>
      </c>
      <c r="AM20" s="34">
        <f>IF(E20=0," ",IF(AI20&gt;=0,AI20,IF(AH20&gt;=0,AH20,IF(AG20&gt;=0,AG20,IF(AF20&gt;=0,AF20,IF(AE20&gt;=0,AE20,IF(AD20&gt;=0,AD20,IF(AC20&gt;=0,AC20,IF(AB20&gt;=0,AB20,AA20)))))))))</f>
        <v>0</v>
      </c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</row>
    <row r="21" spans="1:123" s="5" customFormat="1" ht="34.950000000000003" customHeight="1">
      <c r="B21" s="153"/>
      <c r="C21" s="82"/>
      <c r="D21" s="156"/>
      <c r="E21" s="83" t="s">
        <v>135</v>
      </c>
      <c r="F21" s="84"/>
      <c r="G21" s="85"/>
      <c r="H21" s="160"/>
      <c r="I21" s="83"/>
      <c r="J21" s="86">
        <v>62</v>
      </c>
      <c r="K21" s="87">
        <v>70</v>
      </c>
      <c r="L21" s="88"/>
      <c r="M21" s="89"/>
      <c r="N21" s="107">
        <f>IF(E21="","",IF(MAXA(K21:M21)&lt;=0,0,MAXA(K21:M21)))</f>
        <v>70</v>
      </c>
      <c r="O21" s="87">
        <v>90</v>
      </c>
      <c r="P21" s="88"/>
      <c r="Q21" s="89"/>
      <c r="R21" s="107">
        <f>IF(E21="","",IF(MAXA(O21:Q21)&lt;=0,0,MAXA(O21:Q21)))</f>
        <v>90</v>
      </c>
      <c r="S21" s="90">
        <f>IF(E21="","",N21+R21)</f>
        <v>160</v>
      </c>
      <c r="T21" s="91" t="str">
        <f t="shared" ref="T21:T22" si="9">+CONCATENATE(AL21," ",AM21)</f>
        <v>FED + 13</v>
      </c>
      <c r="U21" s="91" t="str">
        <f>IF(E21=0," ",IF(E21="H",IF(G21&lt;=SENIORS_Min,VLOOKUP(J21,Minimas!$A$15:$F$29,6),IF(AND(G21&gt;=U20_Min,G21&lt;=U20_Max),VLOOKUP(J21,Minimas!$A$15:$F$29,5),IF(AND(G21&gt;=U17_Min,G21&lt;=U17_Max),VLOOKUP(J21,Minimas!$A$15:$F$29,4),IF(AND(G21&gt;=U15_Min,G21&lt;=U15_Max),VLOOKUP(J21,Minimas!$A$15:$F$29,3),VLOOKUP(J21,Minimas!$A$15:$F$29,2))))),IF(G21&lt;=SENIORS_Min,VLOOKUP(J21,Minimas!$G$15:$L$29,6),IF(AND(G21&gt;=U20_Min,G21&lt;=U20_Max),VLOOKUP(J21,Minimas!$G$15:$L$29,5),IF(AND(G21&gt;=U17_Min,G21&lt;=U17_Max),VLOOKUP(J21,Minimas!$G$15:$L$29,4),IF(AND(G21&gt;=U15_Min,G21&lt;=U15_Max),VLOOKUP(J21,Minimas!$G$15:$L$29,3),VLOOKUP(J21,Minimas!$G$15:$L$29,2)))))))</f>
        <v>SE F64</v>
      </c>
      <c r="V21" s="92">
        <f t="shared" si="8"/>
        <v>318.16885227878356</v>
      </c>
      <c r="Z21" s="34"/>
      <c r="AA21" s="54">
        <f>S21-HLOOKUP(U21,Minimas!$C$3:$CD$12,2,FALSE)</f>
        <v>90</v>
      </c>
      <c r="AB21" s="54">
        <f>S21-HLOOKUP(U21,Minimas!$C$3:$CD$12,3,FALSE)</f>
        <v>75</v>
      </c>
      <c r="AC21" s="54">
        <f>S21-HLOOKUP(U21,Minimas!$C$3:$CD$12,4,FALSE)</f>
        <v>60</v>
      </c>
      <c r="AD21" s="54">
        <f>S21-HLOOKUP(U21,Minimas!$C$3:$CD$12,5,FALSE)</f>
        <v>38</v>
      </c>
      <c r="AE21" s="54">
        <f>S21-HLOOKUP(U21,Minimas!$C$3:$CD$12,6,FALSE)</f>
        <v>13</v>
      </c>
      <c r="AF21" s="54">
        <f>S21-HLOOKUP(U21,Minimas!$C$3:$CD$12,7,FALSE)</f>
        <v>-5</v>
      </c>
      <c r="AG21" s="54">
        <f>S21-HLOOKUP(U21,Minimas!$C$3:$CD$12,8,FALSE)</f>
        <v>-25</v>
      </c>
      <c r="AH21" s="54">
        <f>S21-HLOOKUP(U21,Minimas!$C$3:$CD$12,9,FALSE)</f>
        <v>-48</v>
      </c>
      <c r="AI21" s="54">
        <f>S21-HLOOKUP(U21,Minimas!$C$3:$CD$12,10,FALSE)</f>
        <v>-9839</v>
      </c>
      <c r="AJ21" s="55" t="str">
        <f>IF(E21=0," ",IF(AI21&gt;=0,$AI$5,IF(AH21&gt;=0,$AH$5,IF(AG21&gt;=0,$AG$5,IF(AF21&gt;=0,$AF$5,IF(AE21&gt;=0,$AE$5,IF(AD21&gt;=0,$AD$5,IF(AC21&gt;=0,$AC$5,IF(AB21&gt;=0,$AB$5,$AA$5)))))))))</f>
        <v>FED +</v>
      </c>
      <c r="AK21" s="34"/>
      <c r="AL21" s="34" t="str">
        <f t="shared" si="7"/>
        <v>FED +</v>
      </c>
      <c r="AM21" s="34">
        <f>IF(E21=0," ",IF(AI21&gt;=0,AI21,IF(AH21&gt;=0,AH21,IF(AG21&gt;=0,AG21,IF(AF21&gt;=0,AF21,IF(AE21&gt;=0,AE21,IF(AD21&gt;=0,AD21,IF(AC21&gt;=0,AC21,IF(AB21&gt;=0,AB21,AA21)))))))))</f>
        <v>13</v>
      </c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</row>
    <row r="22" spans="1:123" s="5" customFormat="1" ht="34.950000000000003" customHeight="1">
      <c r="B22" s="153"/>
      <c r="C22" s="82"/>
      <c r="D22" s="156"/>
      <c r="E22" s="83" t="s">
        <v>134</v>
      </c>
      <c r="F22" s="84"/>
      <c r="G22" s="85"/>
      <c r="H22" s="161">
        <f>SUM(V19:V23)</f>
        <v>1367.949121846772</v>
      </c>
      <c r="I22" s="83" t="s">
        <v>41</v>
      </c>
      <c r="J22" s="86">
        <v>82</v>
      </c>
      <c r="K22" s="87">
        <v>55</v>
      </c>
      <c r="L22" s="88"/>
      <c r="M22" s="89"/>
      <c r="N22" s="107">
        <f>IF(E22="","",IF(MAXA(K22:M22)&lt;=0,0,MAXA(K22:M22)))</f>
        <v>55</v>
      </c>
      <c r="O22" s="87">
        <v>75</v>
      </c>
      <c r="P22" s="88"/>
      <c r="Q22" s="89"/>
      <c r="R22" s="107">
        <f>IF(E22="","",IF(MAXA(O22:Q22)&lt;=0,0,MAXA(O22:Q22)))</f>
        <v>75</v>
      </c>
      <c r="S22" s="90">
        <f>IF(E22="","",N22+R22)</f>
        <v>130</v>
      </c>
      <c r="T22" s="91" t="str">
        <f t="shared" si="9"/>
        <v>DEB -20</v>
      </c>
      <c r="U22" s="91" t="str">
        <f>IF(E22=0," ",IF(E22="H",IF(G22&lt;=SENIORS_Min,VLOOKUP(J22,Minimas!$A$15:$F$29,6),IF(AND(G22&gt;=U20_Min,G22&lt;=U20_Max),VLOOKUP(J22,Minimas!$A$15:$F$29,5),IF(AND(G22&gt;=U17_Min,G22&lt;=U17_Max),VLOOKUP(J22,Minimas!$A$15:$F$29,4),IF(AND(G22&gt;=U15_Min,G22&lt;=U15_Max),VLOOKUP(J22,Minimas!$A$15:$F$29,3),VLOOKUP(J22,Minimas!$A$15:$F$29,2))))),IF(G22&lt;=SENIORS_Min,VLOOKUP(J22,Minimas!$G$15:$L$29,6),IF(AND(G22&gt;=U20_Min,G22&lt;=U20_Max),VLOOKUP(J22,Minimas!$G$15:$L$29,5),IF(AND(G22&gt;=U17_Min,G22&lt;=U17_Max),VLOOKUP(J22,Minimas!$G$15:$L$29,4),IF(AND(G22&gt;=U15_Min,G22&lt;=U15_Max),VLOOKUP(J22,Minimas!$G$15:$L$29,3),VLOOKUP(J22,Minimas!$G$15:$L$29,2)))))))</f>
        <v>SE M89</v>
      </c>
      <c r="V22" s="92">
        <f t="shared" si="8"/>
        <v>163.89315246155539</v>
      </c>
      <c r="Z22" s="34"/>
      <c r="AA22" s="54">
        <f>S22-HLOOKUP(U22,Minimas!$C$3:$CD$12,2,FALSE)</f>
        <v>-20</v>
      </c>
      <c r="AB22" s="54">
        <f>S22-HLOOKUP(U22,Minimas!$C$3:$CD$12,3,FALSE)</f>
        <v>-45</v>
      </c>
      <c r="AC22" s="54">
        <f>S22-HLOOKUP(U22,Minimas!$C$3:$CD$12,4,FALSE)</f>
        <v>-70</v>
      </c>
      <c r="AD22" s="54">
        <f>S22-HLOOKUP(U22,Minimas!$C$3:$CD$12,5,FALSE)</f>
        <v>-100</v>
      </c>
      <c r="AE22" s="54">
        <f>S22-HLOOKUP(U22,Minimas!$C$3:$CD$12,6,FALSE)</f>
        <v>-130</v>
      </c>
      <c r="AF22" s="54">
        <f>S22-HLOOKUP(U22,Minimas!$C$3:$CD$12,7,FALSE)</f>
        <v>-157</v>
      </c>
      <c r="AG22" s="54">
        <f>S22-HLOOKUP(U22,Minimas!$C$3:$CD$12,8,FALSE)</f>
        <v>-190</v>
      </c>
      <c r="AH22" s="54">
        <f>S22-HLOOKUP(U22,Minimas!$C$3:$CD$12,9,FALSE)</f>
        <v>-220</v>
      </c>
      <c r="AI22" s="54">
        <f>S22-HLOOKUP(U22,Minimas!$C$3:$CD$12,10,FALSE)</f>
        <v>-9869</v>
      </c>
      <c r="AJ22" s="55" t="str">
        <f>IF(E22=0," ",IF(AI22&gt;=0,$AI$5,IF(AH22&gt;=0,$AH$5,IF(AG22&gt;=0,$AG$5,IF(AF22&gt;=0,$AF$5,IF(AE22&gt;=0,$AE$5,IF(AD22&gt;=0,$AD$5,IF(AC22&gt;=0,$AC$5,IF(AB22&gt;=0,$AB$5,$AA$5)))))))))</f>
        <v>DEB</v>
      </c>
      <c r="AK22" s="34"/>
      <c r="AL22" s="34" t="str">
        <f t="shared" si="7"/>
        <v>DEB</v>
      </c>
      <c r="AM22" s="34">
        <f>IF(E22=0," ",IF(AI22&gt;=0,AI22,IF(AH22&gt;=0,AH22,IF(AG22&gt;=0,AG22,IF(AF22&gt;=0,AF22,IF(AE22&gt;=0,AE22,IF(AD22&gt;=0,AD22,IF(AC22&gt;=0,AC22,IF(AB22&gt;=0,AB22,AA22)))))))))</f>
        <v>-20</v>
      </c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</row>
    <row r="23" spans="1:123" s="5" customFormat="1" ht="34.950000000000003" customHeight="1" thickBot="1">
      <c r="B23" s="154"/>
      <c r="C23" s="93"/>
      <c r="D23" s="157"/>
      <c r="E23" s="94" t="s">
        <v>135</v>
      </c>
      <c r="F23" s="95"/>
      <c r="G23" s="96"/>
      <c r="H23" s="162">
        <f>SUM(V19:V23)</f>
        <v>1367.949121846772</v>
      </c>
      <c r="I23" s="94" t="s">
        <v>41</v>
      </c>
      <c r="J23" s="97">
        <v>72</v>
      </c>
      <c r="K23" s="98">
        <v>70</v>
      </c>
      <c r="L23" s="99"/>
      <c r="M23" s="100"/>
      <c r="N23" s="108">
        <f>IF(E23="","",IF(MAXA(K23:M23)&lt;=0,0,MAXA(K23:M23)))</f>
        <v>70</v>
      </c>
      <c r="O23" s="98">
        <v>90</v>
      </c>
      <c r="P23" s="99"/>
      <c r="Q23" s="100"/>
      <c r="R23" s="108">
        <f>IF(E23="","",IF(MAXA(O23:Q23)&lt;=0,0,MAXA(O23:Q23)))</f>
        <v>90</v>
      </c>
      <c r="S23" s="101">
        <f>IF(E23="","",N23+R23)</f>
        <v>160</v>
      </c>
      <c r="T23" s="102" t="str">
        <f>+CONCATENATE(AL23," ",AM23)</f>
        <v>FED + 5</v>
      </c>
      <c r="U23" s="102" t="str">
        <f>IF(E23=0," ",IF(E23="H",IF(G23&lt;=SENIORS_Min,VLOOKUP(J23,Minimas!$A$15:$F$29,6),IF(AND(G23&gt;=U20_Min,G23&lt;=U20_Max),VLOOKUP(J23,Minimas!$A$15:$F$29,5),IF(AND(G23&gt;=U17_Min,G23&lt;=U17_Max),VLOOKUP(J23,Minimas!$A$15:$F$29,4),IF(AND(G23&gt;=U15_Min,G23&lt;=U15_Max),VLOOKUP(J23,Minimas!$A$15:$F$29,3),VLOOKUP(J23,Minimas!$A$15:$F$29,2))))),IF(G23&lt;=SENIORS_Min,VLOOKUP(J23,Minimas!$G$15:$L$29,6),IF(AND(G23&gt;=U20_Min,G23&lt;=U20_Max),VLOOKUP(J23,Minimas!$G$15:$L$29,5),IF(AND(G23&gt;=U17_Min,G23&lt;=U17_Max),VLOOKUP(J23,Minimas!$G$15:$L$29,4),IF(AND(G23&gt;=U15_Min,G23&lt;=U15_Max),VLOOKUP(J23,Minimas!$G$15:$L$29,3),VLOOKUP(J23,Minimas!$G$15:$L$29,2)))))))</f>
        <v>SE F76</v>
      </c>
      <c r="V23" s="103">
        <f t="shared" si="8"/>
        <v>292.18488429186294</v>
      </c>
      <c r="Z23" s="34"/>
      <c r="AA23" s="54">
        <f>S23-HLOOKUP(U23,Minimas!$C$3:$CD$12,2,FALSE)</f>
        <v>80</v>
      </c>
      <c r="AB23" s="54">
        <f>S23-HLOOKUP(U23,Minimas!$C$3:$CD$12,3,FALSE)</f>
        <v>65</v>
      </c>
      <c r="AC23" s="54">
        <f>S23-HLOOKUP(U23,Minimas!$C$3:$CD$12,4,FALSE)</f>
        <v>45</v>
      </c>
      <c r="AD23" s="54">
        <f>S23-HLOOKUP(U23,Minimas!$C$3:$CD$12,5,FALSE)</f>
        <v>25</v>
      </c>
      <c r="AE23" s="54">
        <f>S23-HLOOKUP(U23,Minimas!$C$3:$CD$12,6,FALSE)</f>
        <v>5</v>
      </c>
      <c r="AF23" s="54">
        <f>S23-HLOOKUP(U23,Minimas!$C$3:$CD$12,7,FALSE)</f>
        <v>-16</v>
      </c>
      <c r="AG23" s="54">
        <f>S23-HLOOKUP(U23,Minimas!$C$3:$CD$12,8,FALSE)</f>
        <v>-36</v>
      </c>
      <c r="AH23" s="54">
        <f>S23-HLOOKUP(U23,Minimas!$C$3:$CD$12,9,FALSE)</f>
        <v>-56</v>
      </c>
      <c r="AI23" s="54">
        <f>S23-HLOOKUP(U23,Minimas!$C$3:$CD$12,10,FALSE)</f>
        <v>-9839</v>
      </c>
      <c r="AJ23" s="55" t="str">
        <f>IF(E23=0," ",IF(AI23&gt;=0,$AI$5,IF(AH23&gt;=0,$AH$5,IF(AG23&gt;=0,$AG$5,IF(AF23&gt;=0,$AF$5,IF(AE23&gt;=0,$AE$5,IF(AD23&gt;=0,$AD$5,IF(AC23&gt;=0,$AC$5,IF(AB23&gt;=0,$AB$5,$AA$5)))))))))</f>
        <v>FED +</v>
      </c>
      <c r="AK23" s="34"/>
      <c r="AL23" s="34" t="str">
        <f t="shared" si="7"/>
        <v>FED +</v>
      </c>
      <c r="AM23" s="34">
        <f>IF(E23=0," ",IF(AI23&gt;=0,AI23,IF(AH23&gt;=0,AH23,IF(AG23&gt;=0,AG23,IF(AF23&gt;=0,AF23,IF(AE23&gt;=0,AE23,IF(AD23&gt;=0,AD23,IF(AC23&gt;=0,AC23,IF(AB23&gt;=0,AB23,AA23)))))))))</f>
        <v>5</v>
      </c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</row>
    <row r="24" spans="1:123" s="5" customFormat="1" ht="9" customHeight="1" thickBot="1">
      <c r="B24" s="120"/>
      <c r="C24" s="16"/>
      <c r="D24" s="121"/>
      <c r="E24" s="122"/>
      <c r="F24" s="123"/>
      <c r="G24" s="124"/>
      <c r="H24" s="125"/>
      <c r="I24" s="122"/>
      <c r="J24" s="125"/>
      <c r="K24" s="126"/>
      <c r="L24" s="126"/>
      <c r="M24" s="126"/>
      <c r="N24" s="127"/>
      <c r="O24" s="126"/>
      <c r="P24" s="126"/>
      <c r="Q24" s="126"/>
      <c r="R24" s="127"/>
      <c r="S24" s="128"/>
      <c r="T24" s="129"/>
      <c r="U24" s="129"/>
      <c r="V24" s="119"/>
      <c r="Z24" s="34"/>
      <c r="AA24" s="54"/>
      <c r="AB24" s="54"/>
      <c r="AC24" s="54"/>
      <c r="AD24" s="54"/>
      <c r="AE24" s="54"/>
      <c r="AF24" s="54"/>
      <c r="AG24" s="54"/>
      <c r="AH24" s="54"/>
      <c r="AI24" s="54"/>
      <c r="AJ24" s="55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</row>
    <row r="25" spans="1:123" s="5" customFormat="1" ht="34.950000000000003" customHeight="1">
      <c r="B25" s="151" t="s">
        <v>137</v>
      </c>
      <c r="C25" s="71"/>
      <c r="D25" s="155">
        <f>IF(H28="","",RANK(H28,$Y$8:$Y$13,0))</f>
        <v>3</v>
      </c>
      <c r="E25" s="72" t="s">
        <v>135</v>
      </c>
      <c r="F25" s="73"/>
      <c r="G25" s="74"/>
      <c r="H25" s="158"/>
      <c r="I25" s="72"/>
      <c r="J25" s="75">
        <v>69</v>
      </c>
      <c r="K25" s="76">
        <v>90</v>
      </c>
      <c r="L25" s="77"/>
      <c r="M25" s="78"/>
      <c r="N25" s="106">
        <f>IF(E25="","",IF(MAXA(K25:M25)&lt;=0,0,MAXA(K25:M25)))</f>
        <v>90</v>
      </c>
      <c r="O25" s="76">
        <v>115</v>
      </c>
      <c r="P25" s="77"/>
      <c r="Q25" s="78"/>
      <c r="R25" s="106">
        <f>IF(E25="","",IF(MAXA(O25:Q25)&lt;=0,0,MAXA(O25:Q25)))</f>
        <v>115</v>
      </c>
      <c r="S25" s="79">
        <f>IF(E25="","",N25+R25)</f>
        <v>205</v>
      </c>
      <c r="T25" s="80" t="str">
        <f>+CONCATENATE(AL25," ",AM25)</f>
        <v>INTB + 13</v>
      </c>
      <c r="U25" s="80" t="str">
        <f>IF(E25=0," ",IF(E25="H",IF(G25&lt;=SENIORS_Min,VLOOKUP(J25,Minimas!$A$15:$F$29,6),IF(AND(G25&gt;=U20_Min,G25&lt;=U20_Max),VLOOKUP(J25,Minimas!$A$15:$F$29,5),IF(AND(G25&gt;=U17_Min,G25&lt;=U17_Max),VLOOKUP(J25,Minimas!$A$15:$F$29,4),IF(AND(G25&gt;=U15_Min,G25&lt;=U15_Max),VLOOKUP(J25,Minimas!$A$15:$F$29,3),VLOOKUP(J25,Minimas!$A$15:$F$29,2))))),IF(G25&lt;=SENIORS_Min,VLOOKUP(J25,Minimas!$G$15:$L$29,6),IF(AND(G25&gt;=U20_Min,G25&lt;=U20_Max),VLOOKUP(J25,Minimas!$G$15:$L$29,5),IF(AND(G25&gt;=U17_Min,G25&lt;=U17_Max),VLOOKUP(J25,Minimas!$G$15:$L$29,4),IF(AND(G25&gt;=U15_Min,G25&lt;=U15_Max),VLOOKUP(J25,Minimas!$G$15:$L$29,3),VLOOKUP(J25,Minimas!$G$15:$L$29,2)))))))</f>
        <v>SE F71</v>
      </c>
      <c r="V25" s="81">
        <f>IF(E25=" "," ",IF(E25="H",10^(0.722762521*LOG(J25/193.609)^2)*S25,IF(E25="F",10^(0.787004341* LOG(J25/153.757)^2)*S25*1.5,"")))</f>
        <v>382.9540961285461</v>
      </c>
      <c r="Z25" s="34"/>
      <c r="AA25" s="54">
        <f>S25-HLOOKUP(U25,Minimas!$C$3:$CD$12,2,FALSE)</f>
        <v>130</v>
      </c>
      <c r="AB25" s="54">
        <f>S25-HLOOKUP(U25,Minimas!$C$3:$CD$12,3,FALSE)</f>
        <v>115</v>
      </c>
      <c r="AC25" s="54">
        <f>S25-HLOOKUP(U25,Minimas!$C$3:$CD$12,4,FALSE)</f>
        <v>98</v>
      </c>
      <c r="AD25" s="54">
        <f>S25-HLOOKUP(U25,Minimas!$C$3:$CD$12,5,FALSE)</f>
        <v>75</v>
      </c>
      <c r="AE25" s="54">
        <f>S25-HLOOKUP(U25,Minimas!$C$3:$CD$12,6,FALSE)</f>
        <v>53</v>
      </c>
      <c r="AF25" s="54">
        <f>S25-HLOOKUP(U25,Minimas!$C$3:$CD$12,7,FALSE)</f>
        <v>33</v>
      </c>
      <c r="AG25" s="54">
        <f>S25-HLOOKUP(U25,Minimas!$C$3:$CD$12,8,FALSE)</f>
        <v>13</v>
      </c>
      <c r="AH25" s="54">
        <f>S25-HLOOKUP(U25,Minimas!$C$3:$CD$12,9,FALSE)</f>
        <v>-7</v>
      </c>
      <c r="AI25" s="54">
        <f>S25-HLOOKUP(U25,Minimas!$C$3:$CD$12,10,FALSE)</f>
        <v>-9794</v>
      </c>
      <c r="AJ25" s="55" t="str">
        <f>IF(E25=0," ",IF(AI25&gt;=0,$AI$5,IF(AH25&gt;=0,$AH$5,IF(AG25&gt;=0,$AG$5,IF(AF25&gt;=0,$AF$5,IF(AE25&gt;=0,$AE$5,IF(AD25&gt;=0,$AD$5,IF(AC25&gt;=0,$AC$5,IF(AB25&gt;=0,$AB$5,$AA$5)))))))))</f>
        <v>INTB +</v>
      </c>
      <c r="AK25" s="34"/>
      <c r="AL25" s="34" t="str">
        <f t="shared" ref="AL25:AL29" si="10">IF(AJ25="","",AJ25)</f>
        <v>INTB +</v>
      </c>
      <c r="AM25" s="34">
        <f>IF(E25=0," ",IF(AI25&gt;=0,AI25,IF(AH25&gt;=0,AH25,IF(AG25&gt;=0,AG25,IF(AF25&gt;=0,AF25,IF(AE25&gt;=0,AE25,IF(AD25&gt;=0,AD25,IF(AC25&gt;=0,AC25,IF(AB25&gt;=0,AB25,AA25)))))))))</f>
        <v>13</v>
      </c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</row>
    <row r="26" spans="1:123" s="5" customFormat="1" ht="34.950000000000003" customHeight="1">
      <c r="B26" s="152"/>
      <c r="C26" s="82"/>
      <c r="D26" s="156"/>
      <c r="E26" s="83" t="s">
        <v>134</v>
      </c>
      <c r="F26" s="84"/>
      <c r="G26" s="85"/>
      <c r="H26" s="159"/>
      <c r="I26" s="83"/>
      <c r="J26" s="86">
        <v>65</v>
      </c>
      <c r="K26" s="87">
        <v>65</v>
      </c>
      <c r="L26" s="88"/>
      <c r="M26" s="89"/>
      <c r="N26" s="107">
        <f>IF(E26="","",IF(MAXA(K26:M26)&lt;=0,0,MAXA(K26:M26)))</f>
        <v>65</v>
      </c>
      <c r="O26" s="87">
        <v>80</v>
      </c>
      <c r="P26" s="88"/>
      <c r="Q26" s="89"/>
      <c r="R26" s="107">
        <f>IF(E26="","",IF(MAXA(O26:Q26)&lt;=0,0,MAXA(O26:Q26)))</f>
        <v>80</v>
      </c>
      <c r="S26" s="90">
        <f>IF(E26="","",N26+R26)</f>
        <v>145</v>
      </c>
      <c r="T26" s="91" t="str">
        <f>+CONCATENATE(AL26," ",AM26)</f>
        <v>DPT + 0</v>
      </c>
      <c r="U26" s="91" t="str">
        <f>IF(E26=0," ",IF(E26="H",IF(G26&lt;=SENIORS_Min,VLOOKUP(J26,Minimas!$A$15:$F$29,6),IF(AND(G26&gt;=U20_Min,G26&lt;=U20_Max),VLOOKUP(J26,Minimas!$A$15:$F$29,5),IF(AND(G26&gt;=U17_Min,G26&lt;=U17_Max),VLOOKUP(J26,Minimas!$A$15:$F$29,4),IF(AND(G26&gt;=U15_Min,G26&lt;=U15_Max),VLOOKUP(J26,Minimas!$A$15:$F$29,3),VLOOKUP(J26,Minimas!$A$15:$F$29,2))))),IF(G26&lt;=SENIORS_Min,VLOOKUP(J26,Minimas!$G$15:$L$29,6),IF(AND(G26&gt;=U20_Min,G26&lt;=U20_Max),VLOOKUP(J26,Minimas!$G$15:$L$29,5),IF(AND(G26&gt;=U17_Min,G26&lt;=U17_Max),VLOOKUP(J26,Minimas!$G$15:$L$29,4),IF(AND(G26&gt;=U15_Min,G26&lt;=U15_Max),VLOOKUP(J26,Minimas!$G$15:$L$29,3),VLOOKUP(J26,Minimas!$G$15:$L$29,2)))))))</f>
        <v>SE M67</v>
      </c>
      <c r="V26" s="92">
        <f t="shared" ref="V26:V29" si="11">IF(E26=" "," ",IF(E26="H",10^(0.722762521*LOG(J26/193.609)^2)*S26,IF(E26="F",10^(0.787004341* LOG(J26/153.757)^2)*S26*1.5,"")))</f>
        <v>210.7481366860238</v>
      </c>
      <c r="Z26" s="34"/>
      <c r="AA26" s="54">
        <f>S26-HLOOKUP(U26,Minimas!$C$3:$CD$12,2,FALSE)</f>
        <v>20</v>
      </c>
      <c r="AB26" s="54">
        <f>S26-HLOOKUP(U26,Minimas!$C$3:$CD$12,3,FALSE)</f>
        <v>0</v>
      </c>
      <c r="AC26" s="54">
        <f>S26-HLOOKUP(U26,Minimas!$C$3:$CD$12,4,FALSE)</f>
        <v>-25</v>
      </c>
      <c r="AD26" s="54">
        <f>S26-HLOOKUP(U26,Minimas!$C$3:$CD$12,5,FALSE)</f>
        <v>-50</v>
      </c>
      <c r="AE26" s="54">
        <f>S26-HLOOKUP(U26,Minimas!$C$3:$CD$12,6,FALSE)</f>
        <v>-80</v>
      </c>
      <c r="AF26" s="54">
        <f>S26-HLOOKUP(U26,Minimas!$C$3:$CD$12,7,FALSE)</f>
        <v>-95</v>
      </c>
      <c r="AG26" s="54">
        <f>S26-HLOOKUP(U26,Minimas!$C$3:$CD$12,8,FALSE)</f>
        <v>-125</v>
      </c>
      <c r="AH26" s="54">
        <f>S26-HLOOKUP(U26,Minimas!$C$3:$CD$12,9,FALSE)</f>
        <v>-150</v>
      </c>
      <c r="AI26" s="54">
        <f>S26-HLOOKUP(U26,Minimas!$C$3:$CD$12,10,FALSE)</f>
        <v>-9854</v>
      </c>
      <c r="AJ26" s="55" t="str">
        <f>IF(E26=0," ",IF(AI26&gt;=0,$AI$5,IF(AH26&gt;=0,$AH$5,IF(AG26&gt;=0,$AG$5,IF(AF26&gt;=0,$AF$5,IF(AE26&gt;=0,$AE$5,IF(AD26&gt;=0,$AD$5,IF(AC26&gt;=0,$AC$5,IF(AB26&gt;=0,$AB$5,$AA$5)))))))))</f>
        <v>DPT +</v>
      </c>
      <c r="AK26" s="34"/>
      <c r="AL26" s="34" t="str">
        <f t="shared" si="10"/>
        <v>DPT +</v>
      </c>
      <c r="AM26" s="34">
        <f>IF(E26=0," ",IF(AI26&gt;=0,AI26,IF(AH26&gt;=0,AH26,IF(AG26&gt;=0,AG26,IF(AF26&gt;=0,AF26,IF(AE26&gt;=0,AE26,IF(AD26&gt;=0,AD26,IF(AC26&gt;=0,AC26,IF(AB26&gt;=0,AB26,AA26)))))))))</f>
        <v>0</v>
      </c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</row>
    <row r="27" spans="1:123" s="5" customFormat="1" ht="34.950000000000003" customHeight="1">
      <c r="B27" s="153"/>
      <c r="C27" s="82"/>
      <c r="D27" s="156"/>
      <c r="E27" s="83" t="s">
        <v>134</v>
      </c>
      <c r="F27" s="84"/>
      <c r="G27" s="85"/>
      <c r="H27" s="160"/>
      <c r="I27" s="83"/>
      <c r="J27" s="86">
        <v>62</v>
      </c>
      <c r="K27" s="87">
        <v>70</v>
      </c>
      <c r="L27" s="88"/>
      <c r="M27" s="89"/>
      <c r="N27" s="107">
        <f>IF(E27="","",IF(MAXA(K27:M27)&lt;=0,0,MAXA(K27:M27)))</f>
        <v>70</v>
      </c>
      <c r="O27" s="87">
        <v>90</v>
      </c>
      <c r="P27" s="88"/>
      <c r="Q27" s="89"/>
      <c r="R27" s="107">
        <f>IF(E27="","",IF(MAXA(O27:Q27)&lt;=0,0,MAXA(O27:Q27)))</f>
        <v>90</v>
      </c>
      <c r="S27" s="90">
        <f>IF(E27="","",N27+R27)</f>
        <v>160</v>
      </c>
      <c r="T27" s="91" t="str">
        <f t="shared" ref="T27:T28" si="12">+CONCATENATE(AL27," ",AM27)</f>
        <v>DPT + 15</v>
      </c>
      <c r="U27" s="91" t="str">
        <f>IF(E27=0," ",IF(E27="H",IF(G27&lt;=SENIORS_Min,VLOOKUP(J27,Minimas!$A$15:$F$29,6),IF(AND(G27&gt;=U20_Min,G27&lt;=U20_Max),VLOOKUP(J27,Minimas!$A$15:$F$29,5),IF(AND(G27&gt;=U17_Min,G27&lt;=U17_Max),VLOOKUP(J27,Minimas!$A$15:$F$29,4),IF(AND(G27&gt;=U15_Min,G27&lt;=U15_Max),VLOOKUP(J27,Minimas!$A$15:$F$29,3),VLOOKUP(J27,Minimas!$A$15:$F$29,2))))),IF(G27&lt;=SENIORS_Min,VLOOKUP(J27,Minimas!$G$15:$L$29,6),IF(AND(G27&gt;=U20_Min,G27&lt;=U20_Max),VLOOKUP(J27,Minimas!$G$15:$L$29,5),IF(AND(G27&gt;=U17_Min,G27&lt;=U17_Max),VLOOKUP(J27,Minimas!$G$15:$L$29,4),IF(AND(G27&gt;=U15_Min,G27&lt;=U15_Max),VLOOKUP(J27,Minimas!$G$15:$L$29,3),VLOOKUP(J27,Minimas!$G$15:$L$29,2)))))))</f>
        <v>SE M67</v>
      </c>
      <c r="V27" s="92">
        <f t="shared" si="11"/>
        <v>240.37067413808202</v>
      </c>
      <c r="Z27" s="34"/>
      <c r="AA27" s="54">
        <f>S27-HLOOKUP(U27,Minimas!$C$3:$CD$12,2,FALSE)</f>
        <v>35</v>
      </c>
      <c r="AB27" s="54">
        <f>S27-HLOOKUP(U27,Minimas!$C$3:$CD$12,3,FALSE)</f>
        <v>15</v>
      </c>
      <c r="AC27" s="54">
        <f>S27-HLOOKUP(U27,Minimas!$C$3:$CD$12,4,FALSE)</f>
        <v>-10</v>
      </c>
      <c r="AD27" s="54">
        <f>S27-HLOOKUP(U27,Minimas!$C$3:$CD$12,5,FALSE)</f>
        <v>-35</v>
      </c>
      <c r="AE27" s="54">
        <f>S27-HLOOKUP(U27,Minimas!$C$3:$CD$12,6,FALSE)</f>
        <v>-65</v>
      </c>
      <c r="AF27" s="54">
        <f>S27-HLOOKUP(U27,Minimas!$C$3:$CD$12,7,FALSE)</f>
        <v>-80</v>
      </c>
      <c r="AG27" s="54">
        <f>S27-HLOOKUP(U27,Minimas!$C$3:$CD$12,8,FALSE)</f>
        <v>-110</v>
      </c>
      <c r="AH27" s="54">
        <f>S27-HLOOKUP(U27,Minimas!$C$3:$CD$12,9,FALSE)</f>
        <v>-135</v>
      </c>
      <c r="AI27" s="54">
        <f>S27-HLOOKUP(U27,Minimas!$C$3:$CD$12,10,FALSE)</f>
        <v>-9839</v>
      </c>
      <c r="AJ27" s="55" t="str">
        <f>IF(E27=0," ",IF(AI27&gt;=0,$AI$5,IF(AH27&gt;=0,$AH$5,IF(AG27&gt;=0,$AG$5,IF(AF27&gt;=0,$AF$5,IF(AE27&gt;=0,$AE$5,IF(AD27&gt;=0,$AD$5,IF(AC27&gt;=0,$AC$5,IF(AB27&gt;=0,$AB$5,$AA$5)))))))))</f>
        <v>DPT +</v>
      </c>
      <c r="AK27" s="34"/>
      <c r="AL27" s="34" t="str">
        <f t="shared" si="10"/>
        <v>DPT +</v>
      </c>
      <c r="AM27" s="34">
        <f>IF(E27=0," ",IF(AI27&gt;=0,AI27,IF(AH27&gt;=0,AH27,IF(AG27&gt;=0,AG27,IF(AF27&gt;=0,AF27,IF(AE27&gt;=0,AE27,IF(AD27&gt;=0,AD27,IF(AC27&gt;=0,AC27,IF(AB27&gt;=0,AB27,AA27)))))))))</f>
        <v>15</v>
      </c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</row>
    <row r="28" spans="1:123" s="5" customFormat="1" ht="34.950000000000003" customHeight="1">
      <c r="B28" s="153"/>
      <c r="C28" s="82"/>
      <c r="D28" s="156"/>
      <c r="E28" s="83" t="s">
        <v>135</v>
      </c>
      <c r="F28" s="84"/>
      <c r="G28" s="85"/>
      <c r="H28" s="161">
        <f>SUM(V25:V29)</f>
        <v>1349.4599039641218</v>
      </c>
      <c r="I28" s="83" t="s">
        <v>41</v>
      </c>
      <c r="J28" s="86">
        <v>82</v>
      </c>
      <c r="K28" s="87">
        <v>55</v>
      </c>
      <c r="L28" s="88"/>
      <c r="M28" s="89"/>
      <c r="N28" s="107">
        <f>IF(E28="","",IF(MAXA(K28:M28)&lt;=0,0,MAXA(K28:M28)))</f>
        <v>55</v>
      </c>
      <c r="O28" s="87">
        <v>75</v>
      </c>
      <c r="P28" s="88"/>
      <c r="Q28" s="89"/>
      <c r="R28" s="107">
        <f>IF(E28="","",IF(MAXA(O28:Q28)&lt;=0,0,MAXA(O28:Q28)))</f>
        <v>75</v>
      </c>
      <c r="S28" s="90">
        <f>IF(E28="","",N28+R28)</f>
        <v>130</v>
      </c>
      <c r="T28" s="91" t="str">
        <f t="shared" si="12"/>
        <v>REG + 8</v>
      </c>
      <c r="U28" s="91" t="str">
        <f>IF(E28=0," ",IF(E28="H",IF(G28&lt;=SENIORS_Min,VLOOKUP(J28,Minimas!$A$15:$F$29,6),IF(AND(G28&gt;=U20_Min,G28&lt;=U20_Max),VLOOKUP(J28,Minimas!$A$15:$F$29,5),IF(AND(G28&gt;=U17_Min,G28&lt;=U17_Max),VLOOKUP(J28,Minimas!$A$15:$F$29,4),IF(AND(G28&gt;=U15_Min,G28&lt;=U15_Max),VLOOKUP(J28,Minimas!$A$15:$F$29,3),VLOOKUP(J28,Minimas!$A$15:$F$29,2))))),IF(G28&lt;=SENIORS_Min,VLOOKUP(J28,Minimas!$G$15:$L$29,6),IF(AND(G28&gt;=U20_Min,G28&lt;=U20_Max),VLOOKUP(J28,Minimas!$G$15:$L$29,5),IF(AND(G28&gt;=U17_Min,G28&lt;=U17_Max),VLOOKUP(J28,Minimas!$G$15:$L$29,4),IF(AND(G28&gt;=U15_Min,G28&lt;=U15_Max),VLOOKUP(J28,Minimas!$G$15:$L$29,3),VLOOKUP(J28,Minimas!$G$15:$L$29,2)))))))</f>
        <v>SE F87</v>
      </c>
      <c r="V28" s="92">
        <f t="shared" si="11"/>
        <v>223.20211271960696</v>
      </c>
      <c r="Z28" s="34"/>
      <c r="AA28" s="54">
        <f>S28-HLOOKUP(U28,Minimas!$C$3:$CD$12,2,FALSE)</f>
        <v>43</v>
      </c>
      <c r="AB28" s="54">
        <f>S28-HLOOKUP(U28,Minimas!$C$3:$CD$12,3,FALSE)</f>
        <v>28</v>
      </c>
      <c r="AC28" s="54">
        <f>S28-HLOOKUP(U28,Minimas!$C$3:$CD$12,4,FALSE)</f>
        <v>8</v>
      </c>
      <c r="AD28" s="54">
        <f>S28-HLOOKUP(U28,Minimas!$C$3:$CD$12,5,FALSE)</f>
        <v>-10</v>
      </c>
      <c r="AE28" s="54">
        <f>S28-HLOOKUP(U28,Minimas!$C$3:$CD$12,6,FALSE)</f>
        <v>-30</v>
      </c>
      <c r="AF28" s="54">
        <f>S28-HLOOKUP(U28,Minimas!$C$3:$CD$12,7,FALSE)</f>
        <v>-52</v>
      </c>
      <c r="AG28" s="54">
        <f>S28-HLOOKUP(U28,Minimas!$C$3:$CD$12,8,FALSE)</f>
        <v>-72</v>
      </c>
      <c r="AH28" s="54">
        <f>S28-HLOOKUP(U28,Minimas!$C$3:$CD$12,9,FALSE)</f>
        <v>-94</v>
      </c>
      <c r="AI28" s="54">
        <f>S28-HLOOKUP(U28,Minimas!$C$3:$CD$12,10,FALSE)</f>
        <v>-9869</v>
      </c>
      <c r="AJ28" s="55" t="str">
        <f>IF(E28=0," ",IF(AI28&gt;=0,$AI$5,IF(AH28&gt;=0,$AH$5,IF(AG28&gt;=0,$AG$5,IF(AF28&gt;=0,$AF$5,IF(AE28&gt;=0,$AE$5,IF(AD28&gt;=0,$AD$5,IF(AC28&gt;=0,$AC$5,IF(AB28&gt;=0,$AB$5,$AA$5)))))))))</f>
        <v>REG +</v>
      </c>
      <c r="AK28" s="34"/>
      <c r="AL28" s="34" t="str">
        <f t="shared" si="10"/>
        <v>REG +</v>
      </c>
      <c r="AM28" s="34">
        <f>IF(E28=0," ",IF(AI28&gt;=0,AI28,IF(AH28&gt;=0,AH28,IF(AG28&gt;=0,AG28,IF(AF28&gt;=0,AF28,IF(AE28&gt;=0,AE28,IF(AD28&gt;=0,AD28,IF(AC28&gt;=0,AC28,IF(AB28&gt;=0,AB28,AA28)))))))))</f>
        <v>8</v>
      </c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</row>
    <row r="29" spans="1:123" s="5" customFormat="1" ht="34.950000000000003" customHeight="1" thickBot="1">
      <c r="B29" s="154"/>
      <c r="C29" s="93"/>
      <c r="D29" s="157"/>
      <c r="E29" s="94" t="s">
        <v>135</v>
      </c>
      <c r="F29" s="95"/>
      <c r="G29" s="96"/>
      <c r="H29" s="162">
        <f>SUM(V25:V29)</f>
        <v>1349.4599039641218</v>
      </c>
      <c r="I29" s="94" t="s">
        <v>41</v>
      </c>
      <c r="J29" s="97">
        <v>72</v>
      </c>
      <c r="K29" s="98">
        <v>70</v>
      </c>
      <c r="L29" s="99"/>
      <c r="M29" s="100"/>
      <c r="N29" s="108">
        <f>IF(E29="","",IF(MAXA(K29:M29)&lt;=0,0,MAXA(K29:M29)))</f>
        <v>70</v>
      </c>
      <c r="O29" s="98">
        <v>90</v>
      </c>
      <c r="P29" s="99"/>
      <c r="Q29" s="100"/>
      <c r="R29" s="108">
        <f>IF(E29="","",IF(MAXA(O29:Q29)&lt;=0,0,MAXA(O29:Q29)))</f>
        <v>90</v>
      </c>
      <c r="S29" s="101">
        <f>IF(E29="","",N29+R29)</f>
        <v>160</v>
      </c>
      <c r="T29" s="102" t="str">
        <f>+CONCATENATE(AL29," ",AM29)</f>
        <v>FED + 5</v>
      </c>
      <c r="U29" s="102" t="str">
        <f>IF(E29=0," ",IF(E29="H",IF(G29&lt;=SENIORS_Min,VLOOKUP(J29,Minimas!$A$15:$F$29,6),IF(AND(G29&gt;=U20_Min,G29&lt;=U20_Max),VLOOKUP(J29,Minimas!$A$15:$F$29,5),IF(AND(G29&gt;=U17_Min,G29&lt;=U17_Max),VLOOKUP(J29,Minimas!$A$15:$F$29,4),IF(AND(G29&gt;=U15_Min,G29&lt;=U15_Max),VLOOKUP(J29,Minimas!$A$15:$F$29,3),VLOOKUP(J29,Minimas!$A$15:$F$29,2))))),IF(G29&lt;=SENIORS_Min,VLOOKUP(J29,Minimas!$G$15:$L$29,6),IF(AND(G29&gt;=U20_Min,G29&lt;=U20_Max),VLOOKUP(J29,Minimas!$G$15:$L$29,5),IF(AND(G29&gt;=U17_Min,G29&lt;=U17_Max),VLOOKUP(J29,Minimas!$G$15:$L$29,4),IF(AND(G29&gt;=U15_Min,G29&lt;=U15_Max),VLOOKUP(J29,Minimas!$G$15:$L$29,3),VLOOKUP(J29,Minimas!$G$15:$L$29,2)))))))</f>
        <v>SE F76</v>
      </c>
      <c r="V29" s="119">
        <f t="shared" si="11"/>
        <v>292.18488429186294</v>
      </c>
      <c r="Z29" s="34"/>
      <c r="AA29" s="54">
        <f>S29-HLOOKUP(U29,Minimas!$C$3:$CD$12,2,FALSE)</f>
        <v>80</v>
      </c>
      <c r="AB29" s="54">
        <f>S29-HLOOKUP(U29,Minimas!$C$3:$CD$12,3,FALSE)</f>
        <v>65</v>
      </c>
      <c r="AC29" s="54">
        <f>S29-HLOOKUP(U29,Minimas!$C$3:$CD$12,4,FALSE)</f>
        <v>45</v>
      </c>
      <c r="AD29" s="54">
        <f>S29-HLOOKUP(U29,Minimas!$C$3:$CD$12,5,FALSE)</f>
        <v>25</v>
      </c>
      <c r="AE29" s="54">
        <f>S29-HLOOKUP(U29,Minimas!$C$3:$CD$12,6,FALSE)</f>
        <v>5</v>
      </c>
      <c r="AF29" s="54">
        <f>S29-HLOOKUP(U29,Minimas!$C$3:$CD$12,7,FALSE)</f>
        <v>-16</v>
      </c>
      <c r="AG29" s="54">
        <f>S29-HLOOKUP(U29,Minimas!$C$3:$CD$12,8,FALSE)</f>
        <v>-36</v>
      </c>
      <c r="AH29" s="54">
        <f>S29-HLOOKUP(U29,Minimas!$C$3:$CD$12,9,FALSE)</f>
        <v>-56</v>
      </c>
      <c r="AI29" s="54">
        <f>S29-HLOOKUP(U29,Minimas!$C$3:$CD$12,10,FALSE)</f>
        <v>-9839</v>
      </c>
      <c r="AJ29" s="55" t="str">
        <f>IF(E29=0," ",IF(AI29&gt;=0,$AI$5,IF(AH29&gt;=0,$AH$5,IF(AG29&gt;=0,$AG$5,IF(AF29&gt;=0,$AF$5,IF(AE29&gt;=0,$AE$5,IF(AD29&gt;=0,$AD$5,IF(AC29&gt;=0,$AC$5,IF(AB29&gt;=0,$AB$5,$AA$5)))))))))</f>
        <v>FED +</v>
      </c>
      <c r="AK29" s="34"/>
      <c r="AL29" s="34" t="str">
        <f t="shared" si="10"/>
        <v>FED +</v>
      </c>
      <c r="AM29" s="34">
        <f>IF(E29=0," ",IF(AI29&gt;=0,AI29,IF(AH29&gt;=0,AH29,IF(AG29&gt;=0,AG29,IF(AF29&gt;=0,AF29,IF(AE29&gt;=0,AE29,IF(AD29&gt;=0,AD29,IF(AC29&gt;=0,AC29,IF(AB29&gt;=0,AB29,AA29)))))))))</f>
        <v>5</v>
      </c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</row>
    <row r="30" spans="1:123" s="8" customFormat="1" ht="5.0999999999999996" customHeight="1" thickBot="1">
      <c r="A30" s="7"/>
      <c r="B30" s="57"/>
      <c r="C30" s="58"/>
      <c r="D30" s="59"/>
      <c r="E30" s="60"/>
      <c r="F30" s="68"/>
      <c r="G30" s="61"/>
      <c r="H30" s="69"/>
      <c r="I30" s="63"/>
      <c r="J30" s="64"/>
      <c r="K30" s="65"/>
      <c r="L30" s="65"/>
      <c r="M30" s="65"/>
      <c r="N30" s="66"/>
      <c r="O30" s="65"/>
      <c r="P30" s="65"/>
      <c r="Q30" s="65"/>
      <c r="R30" s="66"/>
      <c r="S30" s="66"/>
      <c r="T30" s="67"/>
      <c r="U30" s="67"/>
      <c r="V30" s="81"/>
      <c r="W30" s="6"/>
      <c r="X30" s="6"/>
      <c r="Y30" s="6"/>
      <c r="Z30" s="32"/>
      <c r="AA30" s="53" t="s">
        <v>31</v>
      </c>
      <c r="AB30" s="53" t="s">
        <v>32</v>
      </c>
      <c r="AC30" s="53" t="s">
        <v>33</v>
      </c>
      <c r="AD30" s="53" t="s">
        <v>34</v>
      </c>
      <c r="AE30" s="53" t="s">
        <v>35</v>
      </c>
      <c r="AF30" s="53" t="s">
        <v>36</v>
      </c>
      <c r="AG30" s="53" t="s">
        <v>37</v>
      </c>
      <c r="AH30" s="53" t="s">
        <v>38</v>
      </c>
      <c r="AI30" s="53" t="s">
        <v>39</v>
      </c>
      <c r="AJ30" s="53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</row>
    <row r="31" spans="1:123" s="5" customFormat="1" ht="34.950000000000003" customHeight="1">
      <c r="B31" s="151" t="s">
        <v>137</v>
      </c>
      <c r="C31" s="71"/>
      <c r="D31" s="163">
        <f>IF(H34="","",RANK(H34,$Y$8:$Y$13,0))</f>
        <v>5</v>
      </c>
      <c r="E31" s="72" t="s">
        <v>135</v>
      </c>
      <c r="F31" s="73"/>
      <c r="G31" s="74"/>
      <c r="H31" s="158"/>
      <c r="I31" s="72"/>
      <c r="J31" s="75">
        <v>69</v>
      </c>
      <c r="K31" s="76">
        <v>90</v>
      </c>
      <c r="L31" s="77"/>
      <c r="M31" s="78"/>
      <c r="N31" s="106">
        <f>IF(E31="","",IF(MAXA(K31:M31)&lt;=0,0,MAXA(K31:M31)))</f>
        <v>90</v>
      </c>
      <c r="O31" s="76">
        <v>115</v>
      </c>
      <c r="P31" s="77"/>
      <c r="Q31" s="78"/>
      <c r="R31" s="106">
        <f>IF(E31="","",IF(MAXA(O31:Q31)&lt;=0,0,MAXA(O31:Q31)))</f>
        <v>115</v>
      </c>
      <c r="S31" s="79">
        <f>IF(E31="","",N31+R31)</f>
        <v>205</v>
      </c>
      <c r="T31" s="80" t="str">
        <f>+CONCATENATE(AL31," ",AM31)</f>
        <v>INTB + 13</v>
      </c>
      <c r="U31" s="80" t="str">
        <f>IF(E31=0," ",IF(E31="H",IF(G31&lt;=SENIORS_Min,VLOOKUP(J31,Minimas!$A$15:$F$29,6),IF(AND(G31&gt;=U20_Min,G31&lt;=U20_Max),VLOOKUP(J31,Minimas!$A$15:$F$29,5),IF(AND(G31&gt;=U17_Min,G31&lt;=U17_Max),VLOOKUP(J31,Minimas!$A$15:$F$29,4),IF(AND(G31&gt;=U15_Min,G31&lt;=U15_Max),VLOOKUP(J31,Minimas!$A$15:$F$29,3),VLOOKUP(J31,Minimas!$A$15:$F$29,2))))),IF(G31&lt;=SENIORS_Min,VLOOKUP(J31,Minimas!$G$15:$L$29,6),IF(AND(G31&gt;=U20_Min,G31&lt;=U20_Max),VLOOKUP(J31,Minimas!$G$15:$L$29,5),IF(AND(G31&gt;=U17_Min,G31&lt;=U17_Max),VLOOKUP(J31,Minimas!$G$15:$L$29,4),IF(AND(G31&gt;=U15_Min,G31&lt;=U15_Max),VLOOKUP(J31,Minimas!$G$15:$L$29,3),VLOOKUP(J31,Minimas!$G$15:$L$29,2)))))))</f>
        <v>SE F71</v>
      </c>
      <c r="V31" s="81">
        <f>IF(E31=" "," ",IF(E31="H",10^(0.722762521*LOG(J31/193.609)^2)*S31,IF(E31="F",10^(0.787004341* LOG(J31/153.757)^2)*S31*1.5,"")))</f>
        <v>382.9540961285461</v>
      </c>
      <c r="Z31" s="34"/>
      <c r="AA31" s="54">
        <f>S31-HLOOKUP(U31,Minimas!$C$3:$CD$12,2,FALSE)</f>
        <v>130</v>
      </c>
      <c r="AB31" s="54">
        <f>S31-HLOOKUP(U31,Minimas!$C$3:$CD$12,3,FALSE)</f>
        <v>115</v>
      </c>
      <c r="AC31" s="54">
        <f>S31-HLOOKUP(U31,Minimas!$C$3:$CD$12,4,FALSE)</f>
        <v>98</v>
      </c>
      <c r="AD31" s="54">
        <f>S31-HLOOKUP(U31,Minimas!$C$3:$CD$12,5,FALSE)</f>
        <v>75</v>
      </c>
      <c r="AE31" s="54">
        <f>S31-HLOOKUP(U31,Minimas!$C$3:$CD$12,6,FALSE)</f>
        <v>53</v>
      </c>
      <c r="AF31" s="54">
        <f>S31-HLOOKUP(U31,Minimas!$C$3:$CD$12,7,FALSE)</f>
        <v>33</v>
      </c>
      <c r="AG31" s="54">
        <f>S31-HLOOKUP(U31,Minimas!$C$3:$CD$12,8,FALSE)</f>
        <v>13</v>
      </c>
      <c r="AH31" s="54">
        <f>S31-HLOOKUP(U31,Minimas!$C$3:$CD$12,9,FALSE)</f>
        <v>-7</v>
      </c>
      <c r="AI31" s="54">
        <f>S31-HLOOKUP(U31,Minimas!$C$3:$CD$12,10,FALSE)</f>
        <v>-9794</v>
      </c>
      <c r="AJ31" s="55" t="str">
        <f>IF(E31=0," ",IF(AI31&gt;=0,$AI$5,IF(AH31&gt;=0,$AH$5,IF(AG31&gt;=0,$AG$5,IF(AF31&gt;=0,$AF$5,IF(AE31&gt;=0,$AE$5,IF(AD31&gt;=0,$AD$5,IF(AC31&gt;=0,$AC$5,IF(AB31&gt;=0,$AB$5,$AA$5)))))))))</f>
        <v>INTB +</v>
      </c>
      <c r="AK31" s="34"/>
      <c r="AL31" s="34" t="str">
        <f t="shared" si="5"/>
        <v>INTB +</v>
      </c>
      <c r="AM31" s="34">
        <f>IF(E31=0," ",IF(AI31&gt;=0,AI31,IF(AH31&gt;=0,AH31,IF(AG31&gt;=0,AG31,IF(AF31&gt;=0,AF31,IF(AE31&gt;=0,AE31,IF(AD31&gt;=0,AD31,IF(AC31&gt;=0,AC31,IF(AB31&gt;=0,AB31,AA31)))))))))</f>
        <v>13</v>
      </c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</row>
    <row r="32" spans="1:123" s="5" customFormat="1" ht="34.950000000000003" customHeight="1">
      <c r="B32" s="152"/>
      <c r="C32" s="82"/>
      <c r="D32" s="163"/>
      <c r="E32" s="83" t="s">
        <v>134</v>
      </c>
      <c r="F32" s="84"/>
      <c r="G32" s="85"/>
      <c r="H32" s="159"/>
      <c r="I32" s="83"/>
      <c r="J32" s="86">
        <v>65</v>
      </c>
      <c r="K32" s="87">
        <v>65</v>
      </c>
      <c r="L32" s="88"/>
      <c r="M32" s="89"/>
      <c r="N32" s="107">
        <f>IF(E32="","",IF(MAXA(K32:M32)&lt;=0,0,MAXA(K32:M32)))</f>
        <v>65</v>
      </c>
      <c r="O32" s="87">
        <v>80</v>
      </c>
      <c r="P32" s="88"/>
      <c r="Q32" s="89"/>
      <c r="R32" s="107">
        <f>IF(E32="","",IF(MAXA(O32:Q32)&lt;=0,0,MAXA(O32:Q32)))</f>
        <v>80</v>
      </c>
      <c r="S32" s="90">
        <f>IF(E32="","",N32+R32)</f>
        <v>145</v>
      </c>
      <c r="T32" s="91" t="str">
        <f>+CONCATENATE(AL32," ",AM32)</f>
        <v>DPT + 0</v>
      </c>
      <c r="U32" s="91" t="str">
        <f>IF(E32=0," ",IF(E32="H",IF(G32&lt;=SENIORS_Min,VLOOKUP(J32,Minimas!$A$15:$F$29,6),IF(AND(G32&gt;=U20_Min,G32&lt;=U20_Max),VLOOKUP(J32,Minimas!$A$15:$F$29,5),IF(AND(G32&gt;=U17_Min,G32&lt;=U17_Max),VLOOKUP(J32,Minimas!$A$15:$F$29,4),IF(AND(G32&gt;=U15_Min,G32&lt;=U15_Max),VLOOKUP(J32,Minimas!$A$15:$F$29,3),VLOOKUP(J32,Minimas!$A$15:$F$29,2))))),IF(G32&lt;=SENIORS_Min,VLOOKUP(J32,Minimas!$G$15:$L$29,6),IF(AND(G32&gt;=U20_Min,G32&lt;=U20_Max),VLOOKUP(J32,Minimas!$G$15:$L$29,5),IF(AND(G32&gt;=U17_Min,G32&lt;=U17_Max),VLOOKUP(J32,Minimas!$G$15:$L$29,4),IF(AND(G32&gt;=U15_Min,G32&lt;=U15_Max),VLOOKUP(J32,Minimas!$G$15:$L$29,3),VLOOKUP(J32,Minimas!$G$15:$L$29,2)))))))</f>
        <v>SE M67</v>
      </c>
      <c r="V32" s="92">
        <f t="shared" si="0"/>
        <v>210.7481366860238</v>
      </c>
      <c r="Z32" s="34"/>
      <c r="AA32" s="54">
        <f>S32-HLOOKUP(U32,Minimas!$C$3:$CD$12,2,FALSE)</f>
        <v>20</v>
      </c>
      <c r="AB32" s="54">
        <f>S32-HLOOKUP(U32,Minimas!$C$3:$CD$12,3,FALSE)</f>
        <v>0</v>
      </c>
      <c r="AC32" s="54">
        <f>S32-HLOOKUP(U32,Minimas!$C$3:$CD$12,4,FALSE)</f>
        <v>-25</v>
      </c>
      <c r="AD32" s="54">
        <f>S32-HLOOKUP(U32,Minimas!$C$3:$CD$12,5,FALSE)</f>
        <v>-50</v>
      </c>
      <c r="AE32" s="54">
        <f>S32-HLOOKUP(U32,Minimas!$C$3:$CD$12,6,FALSE)</f>
        <v>-80</v>
      </c>
      <c r="AF32" s="54">
        <f>S32-HLOOKUP(U32,Minimas!$C$3:$CD$12,7,FALSE)</f>
        <v>-95</v>
      </c>
      <c r="AG32" s="54">
        <f>S32-HLOOKUP(U32,Minimas!$C$3:$CD$12,8,FALSE)</f>
        <v>-125</v>
      </c>
      <c r="AH32" s="54">
        <f>S32-HLOOKUP(U32,Minimas!$C$3:$CD$12,9,FALSE)</f>
        <v>-150</v>
      </c>
      <c r="AI32" s="54">
        <f>S32-HLOOKUP(U32,Minimas!$C$3:$CD$12,10,FALSE)</f>
        <v>-9854</v>
      </c>
      <c r="AJ32" s="55" t="str">
        <f>IF(E32=0," ",IF(AI32&gt;=0,$AI$5,IF(AH32&gt;=0,$AH$5,IF(AG32&gt;=0,$AG$5,IF(AF32&gt;=0,$AF$5,IF(AE32&gt;=0,$AE$5,IF(AD32&gt;=0,$AD$5,IF(AC32&gt;=0,$AC$5,IF(AB32&gt;=0,$AB$5,$AA$5)))))))))</f>
        <v>DPT +</v>
      </c>
      <c r="AK32" s="34"/>
      <c r="AL32" s="34" t="str">
        <f t="shared" ref="AL32" si="13">IF(AJ32="","",AJ32)</f>
        <v>DPT +</v>
      </c>
      <c r="AM32" s="34">
        <f>IF(E32=0," ",IF(AI32&gt;=0,AI32,IF(AH32&gt;=0,AH32,IF(AG32&gt;=0,AG32,IF(AF32&gt;=0,AF32,IF(AE32&gt;=0,AE32,IF(AD32&gt;=0,AD32,IF(AC32&gt;=0,AC32,IF(AB32&gt;=0,AB32,AA32)))))))))</f>
        <v>0</v>
      </c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</row>
    <row r="33" spans="2:123" s="5" customFormat="1" ht="34.950000000000003" customHeight="1">
      <c r="B33" s="153"/>
      <c r="C33" s="82"/>
      <c r="D33" s="163"/>
      <c r="E33" s="83" t="s">
        <v>134</v>
      </c>
      <c r="F33" s="84"/>
      <c r="G33" s="85"/>
      <c r="H33" s="160"/>
      <c r="I33" s="83"/>
      <c r="J33" s="86">
        <v>62</v>
      </c>
      <c r="K33" s="87">
        <v>60</v>
      </c>
      <c r="L33" s="88"/>
      <c r="M33" s="89"/>
      <c r="N33" s="107">
        <f>IF(E33="","",IF(MAXA(K33:M33)&lt;=0,0,MAXA(K33:M33)))</f>
        <v>60</v>
      </c>
      <c r="O33" s="87">
        <v>85</v>
      </c>
      <c r="P33" s="88"/>
      <c r="Q33" s="89"/>
      <c r="R33" s="107">
        <f>IF(E33="","",IF(MAXA(O33:Q33)&lt;=0,0,MAXA(O33:Q33)))</f>
        <v>85</v>
      </c>
      <c r="S33" s="90">
        <f>IF(E33="","",N33+R33)</f>
        <v>145</v>
      </c>
      <c r="T33" s="91" t="str">
        <f t="shared" ref="T33:T34" si="14">+CONCATENATE(AL33," ",AM33)</f>
        <v>DPT + 0</v>
      </c>
      <c r="U33" s="91" t="str">
        <f>IF(E33=0," ",IF(E33="H",IF(G33&lt;=SENIORS_Min,VLOOKUP(J33,Minimas!$A$15:$F$29,6),IF(AND(G33&gt;=U20_Min,G33&lt;=U20_Max),VLOOKUP(J33,Minimas!$A$15:$F$29,5),IF(AND(G33&gt;=U17_Min,G33&lt;=U17_Max),VLOOKUP(J33,Minimas!$A$15:$F$29,4),IF(AND(G33&gt;=U15_Min,G33&lt;=U15_Max),VLOOKUP(J33,Minimas!$A$15:$F$29,3),VLOOKUP(J33,Minimas!$A$15:$F$29,2))))),IF(G33&lt;=SENIORS_Min,VLOOKUP(J33,Minimas!$G$15:$L$29,6),IF(AND(G33&gt;=U20_Min,G33&lt;=U20_Max),VLOOKUP(J33,Minimas!$G$15:$L$29,5),IF(AND(G33&gt;=U17_Min,G33&lt;=U17_Max),VLOOKUP(J33,Minimas!$G$15:$L$29,4),IF(AND(G33&gt;=U15_Min,G33&lt;=U15_Max),VLOOKUP(J33,Minimas!$G$15:$L$29,3),VLOOKUP(J33,Minimas!$G$15:$L$29,2)))))))</f>
        <v>SE M67</v>
      </c>
      <c r="V33" s="92">
        <f t="shared" si="0"/>
        <v>217.83592343763684</v>
      </c>
      <c r="Z33" s="34"/>
      <c r="AA33" s="54">
        <f>S33-HLOOKUP(U33,Minimas!$C$3:$CD$12,2,FALSE)</f>
        <v>20</v>
      </c>
      <c r="AB33" s="54">
        <f>S33-HLOOKUP(U33,Minimas!$C$3:$CD$12,3,FALSE)</f>
        <v>0</v>
      </c>
      <c r="AC33" s="54">
        <f>S33-HLOOKUP(U33,Minimas!$C$3:$CD$12,4,FALSE)</f>
        <v>-25</v>
      </c>
      <c r="AD33" s="54">
        <f>S33-HLOOKUP(U33,Minimas!$C$3:$CD$12,5,FALSE)</f>
        <v>-50</v>
      </c>
      <c r="AE33" s="54">
        <f>S33-HLOOKUP(U33,Minimas!$C$3:$CD$12,6,FALSE)</f>
        <v>-80</v>
      </c>
      <c r="AF33" s="54">
        <f>S33-HLOOKUP(U33,Minimas!$C$3:$CD$12,7,FALSE)</f>
        <v>-95</v>
      </c>
      <c r="AG33" s="54">
        <f>S33-HLOOKUP(U33,Minimas!$C$3:$CD$12,8,FALSE)</f>
        <v>-125</v>
      </c>
      <c r="AH33" s="54">
        <f>S33-HLOOKUP(U33,Minimas!$C$3:$CD$12,9,FALSE)</f>
        <v>-150</v>
      </c>
      <c r="AI33" s="54">
        <f>S33-HLOOKUP(U33,Minimas!$C$3:$CD$12,10,FALSE)</f>
        <v>-9854</v>
      </c>
      <c r="AJ33" s="55" t="str">
        <f>IF(E33=0," ",IF(AI33&gt;=0,$AI$5,IF(AH33&gt;=0,$AH$5,IF(AG33&gt;=0,$AG$5,IF(AF33&gt;=0,$AF$5,IF(AE33&gt;=0,$AE$5,IF(AD33&gt;=0,$AD$5,IF(AC33&gt;=0,$AC$5,IF(AB33&gt;=0,$AB$5,$AA$5)))))))))</f>
        <v>DPT +</v>
      </c>
      <c r="AK33" s="34"/>
      <c r="AL33" s="34" t="str">
        <f t="shared" si="5"/>
        <v>DPT +</v>
      </c>
      <c r="AM33" s="34">
        <f>IF(E33=0," ",IF(AI33&gt;=0,AI33,IF(AH33&gt;=0,AH33,IF(AG33&gt;=0,AG33,IF(AF33&gt;=0,AF33,IF(AE33&gt;=0,AE33,IF(AD33&gt;=0,AD33,IF(AC33&gt;=0,AC33,IF(AB33&gt;=0,AB33,AA33)))))))))</f>
        <v>0</v>
      </c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</row>
    <row r="34" spans="2:123" s="5" customFormat="1" ht="34.950000000000003" customHeight="1">
      <c r="B34" s="153"/>
      <c r="C34" s="82"/>
      <c r="D34" s="163"/>
      <c r="E34" s="83" t="s">
        <v>134</v>
      </c>
      <c r="F34" s="84"/>
      <c r="G34" s="85"/>
      <c r="H34" s="161">
        <f>SUM(V31:V35)</f>
        <v>1267.6161930056251</v>
      </c>
      <c r="I34" s="83" t="s">
        <v>41</v>
      </c>
      <c r="J34" s="86">
        <v>82</v>
      </c>
      <c r="K34" s="87">
        <v>55</v>
      </c>
      <c r="L34" s="88"/>
      <c r="M34" s="89"/>
      <c r="N34" s="107">
        <f>IF(E34="","",IF(MAXA(K34:M34)&lt;=0,0,MAXA(K34:M34)))</f>
        <v>55</v>
      </c>
      <c r="O34" s="87">
        <v>75</v>
      </c>
      <c r="P34" s="88"/>
      <c r="Q34" s="89"/>
      <c r="R34" s="107">
        <f>IF(E34="","",IF(MAXA(O34:Q34)&lt;=0,0,MAXA(O34:Q34)))</f>
        <v>75</v>
      </c>
      <c r="S34" s="90">
        <f>IF(E34="","",N34+R34)</f>
        <v>130</v>
      </c>
      <c r="T34" s="91" t="str">
        <f t="shared" si="14"/>
        <v>DEB -20</v>
      </c>
      <c r="U34" s="91" t="str">
        <f>IF(E34=0," ",IF(E34="H",IF(G34&lt;=SENIORS_Min,VLOOKUP(J34,Minimas!$A$15:$F$29,6),IF(AND(G34&gt;=U20_Min,G34&lt;=U20_Max),VLOOKUP(J34,Minimas!$A$15:$F$29,5),IF(AND(G34&gt;=U17_Min,G34&lt;=U17_Max),VLOOKUP(J34,Minimas!$A$15:$F$29,4),IF(AND(G34&gt;=U15_Min,G34&lt;=U15_Max),VLOOKUP(J34,Minimas!$A$15:$F$29,3),VLOOKUP(J34,Minimas!$A$15:$F$29,2))))),IF(G34&lt;=SENIORS_Min,VLOOKUP(J34,Minimas!$G$15:$L$29,6),IF(AND(G34&gt;=U20_Min,G34&lt;=U20_Max),VLOOKUP(J34,Minimas!$G$15:$L$29,5),IF(AND(G34&gt;=U17_Min,G34&lt;=U17_Max),VLOOKUP(J34,Minimas!$G$15:$L$29,4),IF(AND(G34&gt;=U15_Min,G34&lt;=U15_Max),VLOOKUP(J34,Minimas!$G$15:$L$29,3),VLOOKUP(J34,Minimas!$G$15:$L$29,2)))))))</f>
        <v>SE M89</v>
      </c>
      <c r="V34" s="92">
        <f t="shared" si="0"/>
        <v>163.89315246155539</v>
      </c>
      <c r="Z34" s="34"/>
      <c r="AA34" s="54">
        <f>S34-HLOOKUP(U34,Minimas!$C$3:$CD$12,2,FALSE)</f>
        <v>-20</v>
      </c>
      <c r="AB34" s="54">
        <f>S34-HLOOKUP(U34,Minimas!$C$3:$CD$12,3,FALSE)</f>
        <v>-45</v>
      </c>
      <c r="AC34" s="54">
        <f>S34-HLOOKUP(U34,Minimas!$C$3:$CD$12,4,FALSE)</f>
        <v>-70</v>
      </c>
      <c r="AD34" s="54">
        <f>S34-HLOOKUP(U34,Minimas!$C$3:$CD$12,5,FALSE)</f>
        <v>-100</v>
      </c>
      <c r="AE34" s="54">
        <f>S34-HLOOKUP(U34,Minimas!$C$3:$CD$12,6,FALSE)</f>
        <v>-130</v>
      </c>
      <c r="AF34" s="54">
        <f>S34-HLOOKUP(U34,Minimas!$C$3:$CD$12,7,FALSE)</f>
        <v>-157</v>
      </c>
      <c r="AG34" s="54">
        <f>S34-HLOOKUP(U34,Minimas!$C$3:$CD$12,8,FALSE)</f>
        <v>-190</v>
      </c>
      <c r="AH34" s="54">
        <f>S34-HLOOKUP(U34,Minimas!$C$3:$CD$12,9,FALSE)</f>
        <v>-220</v>
      </c>
      <c r="AI34" s="54">
        <f>S34-HLOOKUP(U34,Minimas!$C$3:$CD$12,10,FALSE)</f>
        <v>-9869</v>
      </c>
      <c r="AJ34" s="55" t="str">
        <f>IF(E34=0," ",IF(AI34&gt;=0,$AI$5,IF(AH34&gt;=0,$AH$5,IF(AG34&gt;=0,$AG$5,IF(AF34&gt;=0,$AF$5,IF(AE34&gt;=0,$AE$5,IF(AD34&gt;=0,$AD$5,IF(AC34&gt;=0,$AC$5,IF(AB34&gt;=0,$AB$5,$AA$5)))))))))</f>
        <v>DEB</v>
      </c>
      <c r="AK34" s="34"/>
      <c r="AL34" s="34" t="str">
        <f t="shared" si="5"/>
        <v>DEB</v>
      </c>
      <c r="AM34" s="34">
        <f>IF(E34=0," ",IF(AI34&gt;=0,AI34,IF(AH34&gt;=0,AH34,IF(AG34&gt;=0,AG34,IF(AF34&gt;=0,AF34,IF(AE34&gt;=0,AE34,IF(AD34&gt;=0,AD34,IF(AC34&gt;=0,AC34,IF(AB34&gt;=0,AB34,AA34)))))))))</f>
        <v>-20</v>
      </c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</row>
    <row r="35" spans="2:123" s="5" customFormat="1" ht="34.950000000000003" customHeight="1" thickBot="1">
      <c r="B35" s="154"/>
      <c r="C35" s="93"/>
      <c r="D35" s="164"/>
      <c r="E35" s="94" t="s">
        <v>135</v>
      </c>
      <c r="F35" s="95"/>
      <c r="G35" s="96"/>
      <c r="H35" s="162">
        <f>SUM(V31:V35)</f>
        <v>1267.6161930056251</v>
      </c>
      <c r="I35" s="94" t="s">
        <v>41</v>
      </c>
      <c r="J35" s="97">
        <v>72</v>
      </c>
      <c r="K35" s="98">
        <v>70</v>
      </c>
      <c r="L35" s="99"/>
      <c r="M35" s="100"/>
      <c r="N35" s="108">
        <f>IF(E35="","",IF(MAXA(K35:M35)&lt;=0,0,MAXA(K35:M35)))</f>
        <v>70</v>
      </c>
      <c r="O35" s="98">
        <v>90</v>
      </c>
      <c r="P35" s="99"/>
      <c r="Q35" s="100"/>
      <c r="R35" s="108">
        <f>IF(E35="","",IF(MAXA(O35:Q35)&lt;=0,0,MAXA(O35:Q35)))</f>
        <v>90</v>
      </c>
      <c r="S35" s="101">
        <f>IF(E35="","",N35+R35)</f>
        <v>160</v>
      </c>
      <c r="T35" s="102" t="str">
        <f>+CONCATENATE(AL35," ",AM35)</f>
        <v>FED + 5</v>
      </c>
      <c r="U35" s="102" t="str">
        <f>IF(E35=0," ",IF(E35="H",IF(G35&lt;=SENIORS_Min,VLOOKUP(J35,Minimas!$A$15:$F$29,6),IF(AND(G35&gt;=U20_Min,G35&lt;=U20_Max),VLOOKUP(J35,Minimas!$A$15:$F$29,5),IF(AND(G35&gt;=U17_Min,G35&lt;=U17_Max),VLOOKUP(J35,Minimas!$A$15:$F$29,4),IF(AND(G35&gt;=U15_Min,G35&lt;=U15_Max),VLOOKUP(J35,Minimas!$A$15:$F$29,3),VLOOKUP(J35,Minimas!$A$15:$F$29,2))))),IF(G35&lt;=SENIORS_Min,VLOOKUP(J35,Minimas!$G$15:$L$29,6),IF(AND(G35&gt;=U20_Min,G35&lt;=U20_Max),VLOOKUP(J35,Minimas!$G$15:$L$29,5),IF(AND(G35&gt;=U17_Min,G35&lt;=U17_Max),VLOOKUP(J35,Minimas!$G$15:$L$29,4),IF(AND(G35&gt;=U15_Min,G35&lt;=U15_Max),VLOOKUP(J35,Minimas!$G$15:$L$29,3),VLOOKUP(J35,Minimas!$G$15:$L$29,2)))))))</f>
        <v>SE F76</v>
      </c>
      <c r="V35" s="103">
        <f t="shared" si="0"/>
        <v>292.18488429186294</v>
      </c>
      <c r="Z35" s="34"/>
      <c r="AA35" s="54">
        <f>S35-HLOOKUP(U35,Minimas!$C$3:$CD$12,2,FALSE)</f>
        <v>80</v>
      </c>
      <c r="AB35" s="54">
        <f>S35-HLOOKUP(U35,Minimas!$C$3:$CD$12,3,FALSE)</f>
        <v>65</v>
      </c>
      <c r="AC35" s="54">
        <f>S35-HLOOKUP(U35,Minimas!$C$3:$CD$12,4,FALSE)</f>
        <v>45</v>
      </c>
      <c r="AD35" s="54">
        <f>S35-HLOOKUP(U35,Minimas!$C$3:$CD$12,5,FALSE)</f>
        <v>25</v>
      </c>
      <c r="AE35" s="54">
        <f>S35-HLOOKUP(U35,Minimas!$C$3:$CD$12,6,FALSE)</f>
        <v>5</v>
      </c>
      <c r="AF35" s="54">
        <f>S35-HLOOKUP(U35,Minimas!$C$3:$CD$12,7,FALSE)</f>
        <v>-16</v>
      </c>
      <c r="AG35" s="54">
        <f>S35-HLOOKUP(U35,Minimas!$C$3:$CD$12,8,FALSE)</f>
        <v>-36</v>
      </c>
      <c r="AH35" s="54">
        <f>S35-HLOOKUP(U35,Minimas!$C$3:$CD$12,9,FALSE)</f>
        <v>-56</v>
      </c>
      <c r="AI35" s="54">
        <f>S35-HLOOKUP(U35,Minimas!$C$3:$CD$12,10,FALSE)</f>
        <v>-9839</v>
      </c>
      <c r="AJ35" s="55" t="str">
        <f>IF(E35=0," ",IF(AI35&gt;=0,$AI$5,IF(AH35&gt;=0,$AH$5,IF(AG35&gt;=0,$AG$5,IF(AF35&gt;=0,$AF$5,IF(AE35&gt;=0,$AE$5,IF(AD35&gt;=0,$AD$5,IF(AC35&gt;=0,$AC$5,IF(AB35&gt;=0,$AB$5,$AA$5)))))))))</f>
        <v>FED +</v>
      </c>
      <c r="AK35" s="34"/>
      <c r="AL35" s="34" t="str">
        <f t="shared" si="5"/>
        <v>FED +</v>
      </c>
      <c r="AM35" s="34">
        <f>IF(E35=0," ",IF(AI35&gt;=0,AI35,IF(AH35&gt;=0,AH35,IF(AG35&gt;=0,AG35,IF(AF35&gt;=0,AF35,IF(AE35&gt;=0,AE35,IF(AD35&gt;=0,AD35,IF(AC35&gt;=0,AC35,IF(AB35&gt;=0,AB35,AA35)))))))))</f>
        <v>5</v>
      </c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</row>
    <row r="36" spans="2:123" s="11" customFormat="1" ht="10.199999999999999" customHeight="1">
      <c r="O36" s="10"/>
    </row>
    <row r="37" spans="2:123" ht="15.6">
      <c r="F37" s="145" t="s">
        <v>140</v>
      </c>
      <c r="K37" s="148"/>
      <c r="L37" s="149" t="s">
        <v>141</v>
      </c>
      <c r="M37" s="146"/>
      <c r="N37" s="146"/>
      <c r="O37" s="146"/>
    </row>
    <row r="38" spans="2:123" ht="15.6">
      <c r="J38" s="147" t="s">
        <v>142</v>
      </c>
      <c r="K38" s="147"/>
      <c r="L38" s="149" t="s">
        <v>143</v>
      </c>
      <c r="M38" s="146"/>
      <c r="N38" s="146"/>
      <c r="O38" s="146"/>
    </row>
    <row r="39" spans="2:123" ht="17.399999999999999">
      <c r="K39" s="150"/>
      <c r="L39" s="149" t="s">
        <v>144</v>
      </c>
      <c r="M39" s="146"/>
      <c r="N39" s="146"/>
      <c r="O39" s="146"/>
    </row>
  </sheetData>
  <mergeCells count="27">
    <mergeCell ref="E2:H3"/>
    <mergeCell ref="M2:R2"/>
    <mergeCell ref="U2:V2"/>
    <mergeCell ref="M3:R3"/>
    <mergeCell ref="U3:V3"/>
    <mergeCell ref="J2:K2"/>
    <mergeCell ref="J3:K3"/>
    <mergeCell ref="D31:D35"/>
    <mergeCell ref="B13:B17"/>
    <mergeCell ref="B31:B35"/>
    <mergeCell ref="H13:H15"/>
    <mergeCell ref="H16:H17"/>
    <mergeCell ref="H31:H33"/>
    <mergeCell ref="H34:H35"/>
    <mergeCell ref="B19:B23"/>
    <mergeCell ref="D19:D23"/>
    <mergeCell ref="H19:H21"/>
    <mergeCell ref="H22:H23"/>
    <mergeCell ref="B25:B29"/>
    <mergeCell ref="D25:D29"/>
    <mergeCell ref="H25:H27"/>
    <mergeCell ref="H28:H29"/>
    <mergeCell ref="B7:B11"/>
    <mergeCell ref="D7:D11"/>
    <mergeCell ref="H7:H9"/>
    <mergeCell ref="H10:H11"/>
    <mergeCell ref="D13:D17"/>
  </mergeCells>
  <phoneticPr fontId="0" type="noConversion"/>
  <conditionalFormatting sqref="E1 E4:E1048576">
    <cfRule type="cellIs" dxfId="4" priority="3" operator="equal">
      <formula>"F"</formula>
    </cfRule>
  </conditionalFormatting>
  <conditionalFormatting sqref="J38">
    <cfRule type="cellIs" dxfId="3" priority="1" stopIfTrue="1" operator="lessThan">
      <formula>0</formula>
    </cfRule>
  </conditionalFormatting>
  <conditionalFormatting sqref="K7:M35">
    <cfRule type="cellIs" dxfId="2" priority="4" operator="lessThan">
      <formula>0</formula>
    </cfRule>
  </conditionalFormatting>
  <conditionalFormatting sqref="K37:O39">
    <cfRule type="cellIs" dxfId="1" priority="2" stopIfTrue="1" operator="lessThan">
      <formula>0</formula>
    </cfRule>
  </conditionalFormatting>
  <conditionalFormatting sqref="O7:Q35">
    <cfRule type="cellIs" dxfId="0" priority="8" operator="lessThan">
      <formula>0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2" orientation="landscape" horizontalDpi="180" verticalDpi="180" r:id="rId1"/>
  <headerFooter alignWithMargins="0"/>
  <ignoredErrors>
    <ignoredError sqref="L33:M35 H10:H11 L31:M31 H12" unlockedFormula="1"/>
    <ignoredError sqref="N9:N11 N7" formulaRange="1"/>
    <ignoredError sqref="T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D38"/>
  <sheetViews>
    <sheetView zoomScaleNormal="100" workbookViewId="0">
      <selection activeCell="C32" sqref="C32"/>
    </sheetView>
  </sheetViews>
  <sheetFormatPr baseColWidth="10" defaultColWidth="11.44140625" defaultRowHeight="13.2"/>
  <cols>
    <col min="3" max="5" width="10.5546875" bestFit="1" customWidth="1"/>
    <col min="6" max="68" width="9.6640625" customWidth="1"/>
  </cols>
  <sheetData>
    <row r="3" spans="1:82">
      <c r="C3" s="50" t="s">
        <v>84</v>
      </c>
      <c r="D3" s="50" t="s">
        <v>85</v>
      </c>
      <c r="E3" s="50" t="s">
        <v>86</v>
      </c>
      <c r="F3" s="50" t="s">
        <v>96</v>
      </c>
      <c r="G3" s="50" t="s">
        <v>88</v>
      </c>
      <c r="H3" s="50" t="s">
        <v>89</v>
      </c>
      <c r="I3" s="50" t="s">
        <v>90</v>
      </c>
      <c r="J3" s="50" t="s">
        <v>91</v>
      </c>
      <c r="K3" s="50" t="s">
        <v>92</v>
      </c>
      <c r="L3" s="50" t="s">
        <v>93</v>
      </c>
      <c r="M3" s="50" t="s">
        <v>94</v>
      </c>
      <c r="N3" s="50" t="s">
        <v>95</v>
      </c>
      <c r="O3" s="50" t="s">
        <v>103</v>
      </c>
      <c r="P3" s="50" t="s">
        <v>87</v>
      </c>
      <c r="Q3" s="50" t="s">
        <v>97</v>
      </c>
      <c r="R3" s="50" t="s">
        <v>98</v>
      </c>
      <c r="S3" s="50" t="s">
        <v>99</v>
      </c>
      <c r="T3" s="50" t="s">
        <v>100</v>
      </c>
      <c r="U3" s="50" t="s">
        <v>101</v>
      </c>
      <c r="V3" s="50" t="s">
        <v>102</v>
      </c>
      <c r="W3" s="50" t="s">
        <v>104</v>
      </c>
      <c r="X3" s="50" t="s">
        <v>105</v>
      </c>
      <c r="Y3" s="50" t="s">
        <v>106</v>
      </c>
      <c r="Z3" s="50" t="s">
        <v>107</v>
      </c>
      <c r="AA3" s="50" t="s">
        <v>108</v>
      </c>
      <c r="AB3" s="50" t="s">
        <v>109</v>
      </c>
      <c r="AC3" s="50" t="s">
        <v>110</v>
      </c>
      <c r="AD3" s="50" t="s">
        <v>111</v>
      </c>
      <c r="AE3" s="50" t="s">
        <v>112</v>
      </c>
      <c r="AF3" s="50" t="s">
        <v>113</v>
      </c>
      <c r="AG3" s="50" t="s">
        <v>114</v>
      </c>
      <c r="AH3" s="50" t="s">
        <v>115</v>
      </c>
      <c r="AI3" s="50" t="s">
        <v>116</v>
      </c>
      <c r="AJ3" s="50" t="s">
        <v>117</v>
      </c>
      <c r="AK3" s="50" t="s">
        <v>118</v>
      </c>
      <c r="AL3" s="50" t="s">
        <v>119</v>
      </c>
      <c r="AM3" s="50" t="s">
        <v>120</v>
      </c>
      <c r="AN3" s="50" t="s">
        <v>121</v>
      </c>
      <c r="AO3" s="50" t="s">
        <v>122</v>
      </c>
      <c r="AP3" s="50" t="s">
        <v>123</v>
      </c>
      <c r="AQ3" s="37" t="s">
        <v>44</v>
      </c>
      <c r="AR3" s="37" t="s">
        <v>45</v>
      </c>
      <c r="AS3" s="37" t="s">
        <v>46</v>
      </c>
      <c r="AT3" s="37" t="s">
        <v>47</v>
      </c>
      <c r="AU3" s="37" t="s">
        <v>48</v>
      </c>
      <c r="AV3" s="37" t="s">
        <v>49</v>
      </c>
      <c r="AW3" s="37" t="s">
        <v>50</v>
      </c>
      <c r="AX3" s="37" t="s">
        <v>51</v>
      </c>
      <c r="AY3" s="37" t="s">
        <v>52</v>
      </c>
      <c r="AZ3" s="37" t="s">
        <v>53</v>
      </c>
      <c r="BA3" s="37" t="s">
        <v>54</v>
      </c>
      <c r="BB3" s="37" t="s">
        <v>55</v>
      </c>
      <c r="BC3" s="37" t="s">
        <v>56</v>
      </c>
      <c r="BD3" s="37" t="s">
        <v>57</v>
      </c>
      <c r="BE3" s="37" t="s">
        <v>58</v>
      </c>
      <c r="BF3" s="37" t="s">
        <v>59</v>
      </c>
      <c r="BG3" s="37" t="s">
        <v>60</v>
      </c>
      <c r="BH3" s="37" t="s">
        <v>61</v>
      </c>
      <c r="BI3" s="37" t="s">
        <v>62</v>
      </c>
      <c r="BJ3" s="37" t="s">
        <v>63</v>
      </c>
      <c r="BK3" s="37" t="s">
        <v>64</v>
      </c>
      <c r="BL3" s="37" t="s">
        <v>65</v>
      </c>
      <c r="BM3" s="37" t="s">
        <v>66</v>
      </c>
      <c r="BN3" s="37" t="s">
        <v>67</v>
      </c>
      <c r="BO3" s="37" t="s">
        <v>68</v>
      </c>
      <c r="BP3" s="37" t="s">
        <v>69</v>
      </c>
      <c r="BQ3" s="37" t="s">
        <v>70</v>
      </c>
      <c r="BR3" s="37" t="s">
        <v>71</v>
      </c>
      <c r="BS3" s="37" t="s">
        <v>72</v>
      </c>
      <c r="BT3" s="37" t="s">
        <v>73</v>
      </c>
      <c r="BU3" s="37" t="s">
        <v>74</v>
      </c>
      <c r="BV3" s="37" t="s">
        <v>75</v>
      </c>
      <c r="BW3" s="37" t="s">
        <v>76</v>
      </c>
      <c r="BX3" s="37" t="s">
        <v>77</v>
      </c>
      <c r="BY3" s="37" t="s">
        <v>78</v>
      </c>
      <c r="BZ3" s="37" t="s">
        <v>79</v>
      </c>
      <c r="CA3" s="37" t="s">
        <v>80</v>
      </c>
      <c r="CB3" s="37" t="s">
        <v>81</v>
      </c>
      <c r="CC3" s="37" t="s">
        <v>82</v>
      </c>
      <c r="CD3" s="37" t="s">
        <v>83</v>
      </c>
    </row>
    <row r="4" spans="1:82">
      <c r="B4" s="39" t="s">
        <v>16</v>
      </c>
      <c r="C4" s="113">
        <v>20</v>
      </c>
      <c r="D4" s="113">
        <v>25</v>
      </c>
      <c r="E4" s="113">
        <v>30</v>
      </c>
      <c r="F4" s="113">
        <v>35</v>
      </c>
      <c r="G4" s="113">
        <v>40</v>
      </c>
      <c r="H4" s="113">
        <v>45</v>
      </c>
      <c r="I4" s="113">
        <v>50</v>
      </c>
      <c r="J4" s="113">
        <v>55</v>
      </c>
      <c r="K4" s="113">
        <v>57</v>
      </c>
      <c r="L4" s="113">
        <v>60</v>
      </c>
      <c r="M4" s="114">
        <v>30</v>
      </c>
      <c r="N4" s="114">
        <v>35</v>
      </c>
      <c r="O4" s="114">
        <v>40</v>
      </c>
      <c r="P4" s="114">
        <v>45</v>
      </c>
      <c r="Q4" s="114">
        <v>50</v>
      </c>
      <c r="R4" s="114">
        <v>55</v>
      </c>
      <c r="S4" s="114">
        <v>60</v>
      </c>
      <c r="T4" s="114">
        <v>65</v>
      </c>
      <c r="U4" s="114">
        <v>67</v>
      </c>
      <c r="V4" s="114">
        <v>70</v>
      </c>
      <c r="W4" s="115">
        <v>40</v>
      </c>
      <c r="X4" s="115">
        <v>45</v>
      </c>
      <c r="Y4" s="115">
        <v>50</v>
      </c>
      <c r="Z4" s="115">
        <v>55</v>
      </c>
      <c r="AA4" s="115">
        <v>60</v>
      </c>
      <c r="AB4" s="115">
        <v>65</v>
      </c>
      <c r="AC4" s="115">
        <v>70</v>
      </c>
      <c r="AD4" s="115">
        <v>75</v>
      </c>
      <c r="AE4" s="115">
        <v>77</v>
      </c>
      <c r="AF4" s="115">
        <v>80</v>
      </c>
      <c r="AG4" s="116">
        <v>50</v>
      </c>
      <c r="AH4" s="116">
        <v>55</v>
      </c>
      <c r="AI4" s="116">
        <v>60</v>
      </c>
      <c r="AJ4" s="116">
        <v>65</v>
      </c>
      <c r="AK4" s="116">
        <v>70</v>
      </c>
      <c r="AL4" s="116">
        <v>75</v>
      </c>
      <c r="AM4" s="116">
        <v>80</v>
      </c>
      <c r="AN4" s="116">
        <v>85</v>
      </c>
      <c r="AO4" s="116">
        <v>87</v>
      </c>
      <c r="AP4" s="116">
        <v>90</v>
      </c>
      <c r="AQ4" s="41">
        <v>40</v>
      </c>
      <c r="AR4" s="41">
        <v>55</v>
      </c>
      <c r="AS4" s="41">
        <v>65</v>
      </c>
      <c r="AT4" s="41">
        <v>75</v>
      </c>
      <c r="AU4" s="41">
        <v>80</v>
      </c>
      <c r="AV4" s="41">
        <v>85</v>
      </c>
      <c r="AW4" s="41">
        <v>90</v>
      </c>
      <c r="AX4" s="41">
        <v>95</v>
      </c>
      <c r="AY4" s="41">
        <v>100</v>
      </c>
      <c r="AZ4" s="41">
        <v>105</v>
      </c>
      <c r="BA4" s="43">
        <v>50</v>
      </c>
      <c r="BB4" s="43">
        <v>65</v>
      </c>
      <c r="BC4" s="43">
        <v>80</v>
      </c>
      <c r="BD4" s="43">
        <v>90</v>
      </c>
      <c r="BE4" s="56">
        <v>100</v>
      </c>
      <c r="BF4" s="43">
        <v>110</v>
      </c>
      <c r="BG4" s="43">
        <v>115</v>
      </c>
      <c r="BH4" s="43">
        <v>120</v>
      </c>
      <c r="BI4" s="43">
        <v>125</v>
      </c>
      <c r="BJ4" s="43">
        <v>130</v>
      </c>
      <c r="BK4" s="38">
        <v>80</v>
      </c>
      <c r="BL4" s="38">
        <v>95</v>
      </c>
      <c r="BM4" s="38">
        <v>105</v>
      </c>
      <c r="BN4" s="38">
        <v>120</v>
      </c>
      <c r="BO4" s="38">
        <v>130</v>
      </c>
      <c r="BP4" s="38">
        <v>135</v>
      </c>
      <c r="BQ4" s="38">
        <v>140</v>
      </c>
      <c r="BR4" s="38">
        <v>145</v>
      </c>
      <c r="BS4" s="38">
        <v>150</v>
      </c>
      <c r="BT4" s="38">
        <v>155</v>
      </c>
      <c r="BU4" s="46">
        <v>95</v>
      </c>
      <c r="BV4" s="46">
        <v>110</v>
      </c>
      <c r="BW4" s="46">
        <v>125</v>
      </c>
      <c r="BX4" s="46">
        <v>135</v>
      </c>
      <c r="BY4" s="46">
        <v>145</v>
      </c>
      <c r="BZ4" s="46">
        <v>150</v>
      </c>
      <c r="CA4" s="46">
        <v>155</v>
      </c>
      <c r="CB4" s="46">
        <v>160</v>
      </c>
      <c r="CC4" s="46">
        <v>165</v>
      </c>
      <c r="CD4" s="46">
        <v>170</v>
      </c>
    </row>
    <row r="5" spans="1:82">
      <c r="B5" s="39" t="s">
        <v>17</v>
      </c>
      <c r="C5" s="113">
        <v>25</v>
      </c>
      <c r="D5" s="113">
        <v>35</v>
      </c>
      <c r="E5" s="113">
        <v>40</v>
      </c>
      <c r="F5" s="113">
        <v>45</v>
      </c>
      <c r="G5" s="113">
        <v>50</v>
      </c>
      <c r="H5" s="113">
        <v>55</v>
      </c>
      <c r="I5" s="113">
        <v>60</v>
      </c>
      <c r="J5" s="113">
        <v>65</v>
      </c>
      <c r="K5" s="113">
        <v>67</v>
      </c>
      <c r="L5" s="113">
        <v>70</v>
      </c>
      <c r="M5" s="114">
        <v>35</v>
      </c>
      <c r="N5" s="114">
        <v>42</v>
      </c>
      <c r="O5" s="114">
        <v>50</v>
      </c>
      <c r="P5" s="114">
        <v>55</v>
      </c>
      <c r="Q5" s="114">
        <v>60</v>
      </c>
      <c r="R5" s="114">
        <v>65</v>
      </c>
      <c r="S5" s="114">
        <v>70</v>
      </c>
      <c r="T5" s="114">
        <v>75</v>
      </c>
      <c r="U5" s="114">
        <v>77</v>
      </c>
      <c r="V5" s="114">
        <v>80</v>
      </c>
      <c r="W5" s="115">
        <v>50</v>
      </c>
      <c r="X5" s="115">
        <v>55</v>
      </c>
      <c r="Y5" s="115">
        <v>62</v>
      </c>
      <c r="Z5" s="115">
        <v>70</v>
      </c>
      <c r="AA5" s="115">
        <v>75</v>
      </c>
      <c r="AB5" s="115">
        <v>80</v>
      </c>
      <c r="AC5" s="115">
        <v>85</v>
      </c>
      <c r="AD5" s="115">
        <v>90</v>
      </c>
      <c r="AE5" s="115">
        <v>92</v>
      </c>
      <c r="AF5" s="115">
        <v>95</v>
      </c>
      <c r="AG5" s="116">
        <v>60</v>
      </c>
      <c r="AH5" s="116">
        <v>67</v>
      </c>
      <c r="AI5" s="116">
        <v>75</v>
      </c>
      <c r="AJ5" s="116">
        <v>80</v>
      </c>
      <c r="AK5" s="116">
        <v>85</v>
      </c>
      <c r="AL5" s="116">
        <v>90</v>
      </c>
      <c r="AM5" s="116">
        <v>95</v>
      </c>
      <c r="AN5" s="116">
        <v>100</v>
      </c>
      <c r="AO5" s="116">
        <v>102</v>
      </c>
      <c r="AP5" s="116">
        <v>105</v>
      </c>
      <c r="AQ5" s="42">
        <v>55</v>
      </c>
      <c r="AR5" s="42">
        <v>70</v>
      </c>
      <c r="AS5" s="42">
        <v>80</v>
      </c>
      <c r="AT5" s="42">
        <v>95</v>
      </c>
      <c r="AU5" s="42">
        <v>100</v>
      </c>
      <c r="AV5" s="42">
        <v>105</v>
      </c>
      <c r="AW5" s="42">
        <v>110</v>
      </c>
      <c r="AX5" s="42">
        <v>115</v>
      </c>
      <c r="AY5" s="42">
        <v>120</v>
      </c>
      <c r="AZ5" s="42">
        <v>125</v>
      </c>
      <c r="BA5" s="44">
        <v>65</v>
      </c>
      <c r="BB5" s="44">
        <v>85</v>
      </c>
      <c r="BC5" s="44">
        <v>100</v>
      </c>
      <c r="BD5" s="44">
        <v>110</v>
      </c>
      <c r="BE5" s="44">
        <v>120</v>
      </c>
      <c r="BF5" s="44">
        <v>130</v>
      </c>
      <c r="BG5" s="44">
        <v>135</v>
      </c>
      <c r="BH5" s="44">
        <v>140</v>
      </c>
      <c r="BI5" s="44">
        <v>145</v>
      </c>
      <c r="BJ5" s="44">
        <v>150</v>
      </c>
      <c r="BK5" s="47">
        <v>100</v>
      </c>
      <c r="BL5" s="47">
        <v>115</v>
      </c>
      <c r="BM5" s="47">
        <v>125</v>
      </c>
      <c r="BN5" s="47">
        <v>140</v>
      </c>
      <c r="BO5" s="47">
        <v>150</v>
      </c>
      <c r="BP5" s="47">
        <v>160</v>
      </c>
      <c r="BQ5" s="47">
        <v>165</v>
      </c>
      <c r="BR5" s="47">
        <v>170</v>
      </c>
      <c r="BS5" s="47">
        <v>175</v>
      </c>
      <c r="BT5" s="47">
        <v>180</v>
      </c>
      <c r="BU5" s="45">
        <v>115</v>
      </c>
      <c r="BV5" s="45">
        <v>130</v>
      </c>
      <c r="BW5" s="45">
        <v>145</v>
      </c>
      <c r="BX5" s="45">
        <v>160</v>
      </c>
      <c r="BY5" s="45">
        <v>170</v>
      </c>
      <c r="BZ5" s="45">
        <v>175</v>
      </c>
      <c r="CA5" s="45">
        <v>180</v>
      </c>
      <c r="CB5" s="45">
        <v>185</v>
      </c>
      <c r="CC5" s="45">
        <v>190</v>
      </c>
      <c r="CD5" s="45">
        <v>195</v>
      </c>
    </row>
    <row r="6" spans="1:82">
      <c r="B6" s="39" t="s">
        <v>18</v>
      </c>
      <c r="C6" s="113">
        <v>35</v>
      </c>
      <c r="D6" s="113">
        <v>45</v>
      </c>
      <c r="E6" s="113">
        <v>50</v>
      </c>
      <c r="F6" s="113">
        <v>57</v>
      </c>
      <c r="G6" s="113">
        <v>62</v>
      </c>
      <c r="H6" s="113">
        <v>67</v>
      </c>
      <c r="I6" s="113">
        <v>72</v>
      </c>
      <c r="J6" s="113">
        <v>75</v>
      </c>
      <c r="K6" s="113">
        <v>77</v>
      </c>
      <c r="L6" s="113">
        <v>80</v>
      </c>
      <c r="M6" s="114">
        <v>45</v>
      </c>
      <c r="N6" s="114">
        <v>50</v>
      </c>
      <c r="O6" s="114">
        <v>57</v>
      </c>
      <c r="P6" s="114">
        <v>65</v>
      </c>
      <c r="Q6" s="114">
        <v>70</v>
      </c>
      <c r="R6" s="114">
        <v>75</v>
      </c>
      <c r="S6" s="114">
        <v>80</v>
      </c>
      <c r="T6" s="114">
        <v>85</v>
      </c>
      <c r="U6" s="114">
        <v>90</v>
      </c>
      <c r="V6" s="114">
        <v>95</v>
      </c>
      <c r="W6" s="115">
        <v>60</v>
      </c>
      <c r="X6" s="115">
        <v>65</v>
      </c>
      <c r="Y6" s="115">
        <v>75</v>
      </c>
      <c r="Z6" s="115">
        <v>82</v>
      </c>
      <c r="AA6" s="115">
        <v>90</v>
      </c>
      <c r="AB6" s="115">
        <v>95</v>
      </c>
      <c r="AC6" s="115">
        <v>100</v>
      </c>
      <c r="AD6" s="115">
        <v>105</v>
      </c>
      <c r="AE6" s="115">
        <v>107</v>
      </c>
      <c r="AF6" s="115">
        <v>110</v>
      </c>
      <c r="AG6" s="116">
        <v>70</v>
      </c>
      <c r="AH6" s="116">
        <v>80</v>
      </c>
      <c r="AI6" s="116">
        <v>87</v>
      </c>
      <c r="AJ6" s="116">
        <v>92</v>
      </c>
      <c r="AK6" s="116">
        <v>100</v>
      </c>
      <c r="AL6" s="116">
        <v>107</v>
      </c>
      <c r="AM6" s="116">
        <v>115</v>
      </c>
      <c r="AN6" s="116">
        <v>120</v>
      </c>
      <c r="AO6" s="116">
        <v>122</v>
      </c>
      <c r="AP6" s="116">
        <v>125</v>
      </c>
      <c r="AQ6" s="42">
        <v>70</v>
      </c>
      <c r="AR6" s="42">
        <v>85</v>
      </c>
      <c r="AS6" s="42">
        <v>100</v>
      </c>
      <c r="AT6" s="42">
        <v>110</v>
      </c>
      <c r="AU6" s="42">
        <v>120</v>
      </c>
      <c r="AV6" s="42">
        <v>130</v>
      </c>
      <c r="AW6" s="42">
        <v>135</v>
      </c>
      <c r="AX6" s="42">
        <v>140</v>
      </c>
      <c r="AY6" s="42">
        <v>145</v>
      </c>
      <c r="AZ6" s="42">
        <v>150</v>
      </c>
      <c r="BA6" s="44">
        <v>80</v>
      </c>
      <c r="BB6" s="44">
        <v>100</v>
      </c>
      <c r="BC6" s="44">
        <v>120</v>
      </c>
      <c r="BD6" s="44">
        <v>130</v>
      </c>
      <c r="BE6" s="44">
        <v>140</v>
      </c>
      <c r="BF6" s="44">
        <v>150</v>
      </c>
      <c r="BG6" s="44">
        <v>160</v>
      </c>
      <c r="BH6" s="44">
        <v>165</v>
      </c>
      <c r="BI6" s="44">
        <v>170</v>
      </c>
      <c r="BJ6" s="44">
        <v>175</v>
      </c>
      <c r="BK6" s="47">
        <v>115</v>
      </c>
      <c r="BL6" s="47">
        <v>130</v>
      </c>
      <c r="BM6" s="47">
        <v>150</v>
      </c>
      <c r="BN6" s="47">
        <v>160</v>
      </c>
      <c r="BO6" s="47">
        <v>170</v>
      </c>
      <c r="BP6" s="47">
        <v>180</v>
      </c>
      <c r="BQ6" s="47">
        <v>185</v>
      </c>
      <c r="BR6" s="47">
        <v>190</v>
      </c>
      <c r="BS6" s="47">
        <v>195</v>
      </c>
      <c r="BT6" s="47">
        <v>200</v>
      </c>
      <c r="BU6" s="45">
        <v>130</v>
      </c>
      <c r="BV6" s="45">
        <v>150</v>
      </c>
      <c r="BW6" s="45">
        <v>170</v>
      </c>
      <c r="BX6" s="45">
        <v>185</v>
      </c>
      <c r="BY6" s="45">
        <v>195</v>
      </c>
      <c r="BZ6" s="45">
        <v>200</v>
      </c>
      <c r="CA6" s="45">
        <v>205</v>
      </c>
      <c r="CB6" s="45">
        <v>210</v>
      </c>
      <c r="CC6" s="45">
        <v>215</v>
      </c>
      <c r="CD6" s="45">
        <v>220</v>
      </c>
    </row>
    <row r="7" spans="1:82">
      <c r="B7" s="39" t="s">
        <v>19</v>
      </c>
      <c r="C7" s="113">
        <v>45</v>
      </c>
      <c r="D7" s="113">
        <v>55</v>
      </c>
      <c r="E7" s="113">
        <v>62</v>
      </c>
      <c r="F7" s="113">
        <v>70</v>
      </c>
      <c r="G7" s="113">
        <v>75</v>
      </c>
      <c r="H7" s="113">
        <v>80</v>
      </c>
      <c r="I7" s="113">
        <v>85</v>
      </c>
      <c r="J7" s="113">
        <v>87</v>
      </c>
      <c r="K7" s="113">
        <v>90</v>
      </c>
      <c r="L7" s="113">
        <v>95</v>
      </c>
      <c r="M7" s="114">
        <v>58</v>
      </c>
      <c r="N7" s="114">
        <v>63</v>
      </c>
      <c r="O7" s="114">
        <v>70</v>
      </c>
      <c r="P7" s="114">
        <v>80</v>
      </c>
      <c r="Q7" s="114">
        <v>82</v>
      </c>
      <c r="R7" s="114">
        <v>87</v>
      </c>
      <c r="S7" s="114">
        <v>92</v>
      </c>
      <c r="T7" s="114">
        <v>97</v>
      </c>
      <c r="U7" s="114">
        <v>100</v>
      </c>
      <c r="V7" s="114">
        <v>105</v>
      </c>
      <c r="W7" s="115">
        <v>72</v>
      </c>
      <c r="X7" s="115">
        <v>80</v>
      </c>
      <c r="Y7" s="115">
        <v>90</v>
      </c>
      <c r="Z7" s="115">
        <v>97</v>
      </c>
      <c r="AA7" s="115">
        <v>105</v>
      </c>
      <c r="AB7" s="115">
        <v>110</v>
      </c>
      <c r="AC7" s="115">
        <v>115</v>
      </c>
      <c r="AD7" s="115">
        <v>120</v>
      </c>
      <c r="AE7" s="115">
        <v>122</v>
      </c>
      <c r="AF7" s="115">
        <v>125</v>
      </c>
      <c r="AG7" s="116">
        <v>85</v>
      </c>
      <c r="AH7" s="116">
        <v>95</v>
      </c>
      <c r="AI7" s="116">
        <v>105</v>
      </c>
      <c r="AJ7" s="116">
        <v>112</v>
      </c>
      <c r="AK7" s="116">
        <v>122</v>
      </c>
      <c r="AL7" s="116">
        <v>130</v>
      </c>
      <c r="AM7" s="116">
        <v>135</v>
      </c>
      <c r="AN7" s="116">
        <v>137</v>
      </c>
      <c r="AO7" s="116">
        <v>140</v>
      </c>
      <c r="AP7" s="116">
        <v>142</v>
      </c>
      <c r="AQ7" s="42">
        <v>85</v>
      </c>
      <c r="AR7" s="42">
        <v>100</v>
      </c>
      <c r="AS7" s="42">
        <v>115</v>
      </c>
      <c r="AT7" s="42">
        <v>130</v>
      </c>
      <c r="AU7" s="42">
        <v>140</v>
      </c>
      <c r="AV7" s="42">
        <v>150</v>
      </c>
      <c r="AW7" s="42">
        <v>155</v>
      </c>
      <c r="AX7" s="42">
        <v>160</v>
      </c>
      <c r="AY7" s="42">
        <v>165</v>
      </c>
      <c r="AZ7" s="42">
        <v>170</v>
      </c>
      <c r="BA7" s="44">
        <v>95</v>
      </c>
      <c r="BB7" s="44">
        <v>115</v>
      </c>
      <c r="BC7" s="44">
        <v>135</v>
      </c>
      <c r="BD7" s="44">
        <v>150</v>
      </c>
      <c r="BE7" s="44">
        <v>160</v>
      </c>
      <c r="BF7" s="44">
        <v>170</v>
      </c>
      <c r="BG7" s="44">
        <v>180</v>
      </c>
      <c r="BH7" s="44">
        <v>185</v>
      </c>
      <c r="BI7" s="44">
        <v>190</v>
      </c>
      <c r="BJ7" s="44">
        <v>195</v>
      </c>
      <c r="BK7" s="47">
        <v>130</v>
      </c>
      <c r="BL7" s="47">
        <v>150</v>
      </c>
      <c r="BM7" s="47">
        <v>170</v>
      </c>
      <c r="BN7" s="47">
        <v>180</v>
      </c>
      <c r="BO7" s="47">
        <v>190</v>
      </c>
      <c r="BP7" s="47">
        <v>200</v>
      </c>
      <c r="BQ7" s="47">
        <v>210</v>
      </c>
      <c r="BR7" s="47">
        <v>215</v>
      </c>
      <c r="BS7" s="47">
        <v>220</v>
      </c>
      <c r="BT7" s="47">
        <v>225</v>
      </c>
      <c r="BU7" s="45">
        <v>145</v>
      </c>
      <c r="BV7" s="45">
        <v>170</v>
      </c>
      <c r="BW7" s="45">
        <v>195</v>
      </c>
      <c r="BX7" s="45">
        <v>210</v>
      </c>
      <c r="BY7" s="45">
        <v>220</v>
      </c>
      <c r="BZ7" s="45">
        <v>230</v>
      </c>
      <c r="CA7" s="45">
        <v>235</v>
      </c>
      <c r="CB7" s="45">
        <v>240</v>
      </c>
      <c r="CC7" s="45">
        <v>245</v>
      </c>
      <c r="CD7" s="45">
        <v>250</v>
      </c>
    </row>
    <row r="8" spans="1:82">
      <c r="B8" s="39" t="s">
        <v>20</v>
      </c>
      <c r="C8" s="113">
        <v>57</v>
      </c>
      <c r="D8" s="113">
        <v>67</v>
      </c>
      <c r="E8" s="113">
        <v>75</v>
      </c>
      <c r="F8" s="113">
        <v>85</v>
      </c>
      <c r="G8" s="113">
        <v>90</v>
      </c>
      <c r="H8" s="113">
        <v>95</v>
      </c>
      <c r="I8" s="113">
        <v>100</v>
      </c>
      <c r="J8" s="113">
        <v>105</v>
      </c>
      <c r="K8" s="113">
        <v>107</v>
      </c>
      <c r="L8" s="113">
        <v>110</v>
      </c>
      <c r="M8" s="114">
        <v>70</v>
      </c>
      <c r="N8" s="114">
        <v>78</v>
      </c>
      <c r="O8" s="114">
        <v>87</v>
      </c>
      <c r="P8" s="114">
        <v>97</v>
      </c>
      <c r="Q8" s="114">
        <v>102</v>
      </c>
      <c r="R8" s="114">
        <v>105</v>
      </c>
      <c r="S8" s="114">
        <v>110</v>
      </c>
      <c r="T8" s="114">
        <v>115</v>
      </c>
      <c r="U8" s="114">
        <v>117</v>
      </c>
      <c r="V8" s="114">
        <v>120</v>
      </c>
      <c r="W8" s="115">
        <v>85</v>
      </c>
      <c r="X8" s="115">
        <v>95</v>
      </c>
      <c r="Y8" s="115">
        <v>108</v>
      </c>
      <c r="Z8" s="115">
        <v>115</v>
      </c>
      <c r="AA8" s="115">
        <v>122</v>
      </c>
      <c r="AB8" s="115">
        <v>125</v>
      </c>
      <c r="AC8" s="115">
        <v>130</v>
      </c>
      <c r="AD8" s="115">
        <v>135</v>
      </c>
      <c r="AE8" s="115">
        <v>140</v>
      </c>
      <c r="AF8" s="115">
        <v>145</v>
      </c>
      <c r="AG8" s="116">
        <v>102</v>
      </c>
      <c r="AH8" s="116">
        <v>115</v>
      </c>
      <c r="AI8" s="116">
        <v>130</v>
      </c>
      <c r="AJ8" s="116">
        <v>140</v>
      </c>
      <c r="AK8" s="116">
        <v>147</v>
      </c>
      <c r="AL8" s="116">
        <v>152</v>
      </c>
      <c r="AM8" s="116">
        <v>155</v>
      </c>
      <c r="AN8" s="116">
        <v>157</v>
      </c>
      <c r="AO8" s="116">
        <v>160</v>
      </c>
      <c r="AP8" s="116">
        <v>162</v>
      </c>
      <c r="AQ8" s="42">
        <v>100</v>
      </c>
      <c r="AR8" s="42">
        <v>115</v>
      </c>
      <c r="AS8" s="42">
        <v>130</v>
      </c>
      <c r="AT8" s="42">
        <v>150</v>
      </c>
      <c r="AU8" s="42">
        <v>160</v>
      </c>
      <c r="AV8" s="42">
        <v>170</v>
      </c>
      <c r="AW8" s="42">
        <v>175</v>
      </c>
      <c r="AX8" s="42">
        <v>180</v>
      </c>
      <c r="AY8" s="42">
        <v>185</v>
      </c>
      <c r="AZ8" s="42">
        <v>190</v>
      </c>
      <c r="BA8" s="44">
        <v>110</v>
      </c>
      <c r="BB8" s="44">
        <v>130</v>
      </c>
      <c r="BC8" s="44">
        <v>150</v>
      </c>
      <c r="BD8" s="44">
        <v>170</v>
      </c>
      <c r="BE8" s="44">
        <v>180</v>
      </c>
      <c r="BF8" s="44">
        <v>190</v>
      </c>
      <c r="BG8" s="44">
        <v>200</v>
      </c>
      <c r="BH8" s="44">
        <v>205</v>
      </c>
      <c r="BI8" s="44">
        <v>210</v>
      </c>
      <c r="BJ8" s="44">
        <v>215</v>
      </c>
      <c r="BK8" s="47">
        <v>145</v>
      </c>
      <c r="BL8" s="47">
        <v>170</v>
      </c>
      <c r="BM8" s="47">
        <v>190</v>
      </c>
      <c r="BN8" s="47">
        <v>200</v>
      </c>
      <c r="BO8" s="47">
        <v>215</v>
      </c>
      <c r="BP8" s="47">
        <v>225</v>
      </c>
      <c r="BQ8" s="47">
        <v>230</v>
      </c>
      <c r="BR8" s="47">
        <v>240</v>
      </c>
      <c r="BS8" s="47">
        <v>245</v>
      </c>
      <c r="BT8" s="47">
        <v>250</v>
      </c>
      <c r="BU8" s="45">
        <v>170</v>
      </c>
      <c r="BV8" s="45">
        <v>195</v>
      </c>
      <c r="BW8" s="45">
        <v>225</v>
      </c>
      <c r="BX8" s="45">
        <v>240</v>
      </c>
      <c r="BY8" s="45">
        <v>250</v>
      </c>
      <c r="BZ8" s="45">
        <v>260</v>
      </c>
      <c r="CA8" s="45">
        <v>265</v>
      </c>
      <c r="CB8" s="45">
        <v>270</v>
      </c>
      <c r="CC8" s="45">
        <v>275</v>
      </c>
      <c r="CD8" s="45">
        <v>280</v>
      </c>
    </row>
    <row r="9" spans="1:82">
      <c r="B9" s="39" t="s">
        <v>21</v>
      </c>
      <c r="C9" s="113">
        <v>72</v>
      </c>
      <c r="D9" s="113">
        <v>82</v>
      </c>
      <c r="E9" s="113">
        <v>90</v>
      </c>
      <c r="F9" s="113">
        <v>100</v>
      </c>
      <c r="G9" s="113">
        <v>105</v>
      </c>
      <c r="H9" s="113">
        <v>110</v>
      </c>
      <c r="I9" s="113">
        <v>115</v>
      </c>
      <c r="J9" s="113">
        <v>120</v>
      </c>
      <c r="K9" s="113">
        <v>122</v>
      </c>
      <c r="L9" s="113">
        <v>125</v>
      </c>
      <c r="M9" s="114">
        <v>82</v>
      </c>
      <c r="N9" s="114">
        <v>90</v>
      </c>
      <c r="O9" s="114">
        <v>100</v>
      </c>
      <c r="P9" s="114">
        <v>110</v>
      </c>
      <c r="Q9" s="114">
        <v>115</v>
      </c>
      <c r="R9" s="114">
        <v>120</v>
      </c>
      <c r="S9" s="114">
        <v>125</v>
      </c>
      <c r="T9" s="114">
        <v>130</v>
      </c>
      <c r="U9" s="114">
        <v>135</v>
      </c>
      <c r="V9" s="114">
        <v>140</v>
      </c>
      <c r="W9" s="115">
        <v>100</v>
      </c>
      <c r="X9" s="115">
        <v>110</v>
      </c>
      <c r="Y9" s="115">
        <v>122</v>
      </c>
      <c r="Z9" s="115">
        <v>130</v>
      </c>
      <c r="AA9" s="115">
        <v>140</v>
      </c>
      <c r="AB9" s="115">
        <v>145</v>
      </c>
      <c r="AC9" s="115">
        <v>150</v>
      </c>
      <c r="AD9" s="115">
        <v>155</v>
      </c>
      <c r="AE9" s="115">
        <v>160</v>
      </c>
      <c r="AF9" s="115">
        <v>165</v>
      </c>
      <c r="AG9" s="116">
        <v>117</v>
      </c>
      <c r="AH9" s="116">
        <v>130</v>
      </c>
      <c r="AI9" s="116">
        <v>145</v>
      </c>
      <c r="AJ9" s="116">
        <v>155</v>
      </c>
      <c r="AK9" s="116">
        <v>165</v>
      </c>
      <c r="AL9" s="116">
        <v>172</v>
      </c>
      <c r="AM9" s="116">
        <v>176</v>
      </c>
      <c r="AN9" s="116">
        <v>180</v>
      </c>
      <c r="AO9" s="116">
        <v>182</v>
      </c>
      <c r="AP9" s="116">
        <v>185</v>
      </c>
      <c r="AQ9" s="42">
        <v>115</v>
      </c>
      <c r="AR9" s="42">
        <v>130</v>
      </c>
      <c r="AS9" s="42">
        <v>150</v>
      </c>
      <c r="AT9" s="42">
        <v>170</v>
      </c>
      <c r="AU9" s="42">
        <v>180</v>
      </c>
      <c r="AV9" s="42">
        <v>190</v>
      </c>
      <c r="AW9" s="42">
        <v>200</v>
      </c>
      <c r="AX9" s="42">
        <v>205</v>
      </c>
      <c r="AY9" s="42">
        <v>210</v>
      </c>
      <c r="AZ9" s="42">
        <v>215</v>
      </c>
      <c r="BA9" s="44">
        <v>125</v>
      </c>
      <c r="BB9" s="44">
        <v>145</v>
      </c>
      <c r="BC9" s="44">
        <v>170</v>
      </c>
      <c r="BD9" s="44">
        <v>190</v>
      </c>
      <c r="BE9" s="44">
        <v>200</v>
      </c>
      <c r="BF9" s="44">
        <v>210</v>
      </c>
      <c r="BG9" s="44">
        <v>220</v>
      </c>
      <c r="BH9" s="44">
        <v>225</v>
      </c>
      <c r="BI9" s="44">
        <v>230</v>
      </c>
      <c r="BJ9" s="44">
        <v>235</v>
      </c>
      <c r="BK9" s="47">
        <v>170</v>
      </c>
      <c r="BL9" s="47">
        <v>190</v>
      </c>
      <c r="BM9" s="47">
        <v>218</v>
      </c>
      <c r="BN9" s="47">
        <v>230</v>
      </c>
      <c r="BO9" s="47">
        <v>245</v>
      </c>
      <c r="BP9" s="47">
        <v>255</v>
      </c>
      <c r="BQ9" s="47">
        <v>260</v>
      </c>
      <c r="BR9" s="47">
        <v>270</v>
      </c>
      <c r="BS9" s="47">
        <v>275</v>
      </c>
      <c r="BT9" s="47">
        <v>280</v>
      </c>
      <c r="BU9" s="45">
        <v>190</v>
      </c>
      <c r="BV9" s="45">
        <v>215</v>
      </c>
      <c r="BW9" s="45">
        <v>240</v>
      </c>
      <c r="BX9" s="45">
        <v>260</v>
      </c>
      <c r="BY9" s="45">
        <v>275</v>
      </c>
      <c r="BZ9" s="45">
        <v>287</v>
      </c>
      <c r="CA9" s="45">
        <v>295</v>
      </c>
      <c r="CB9" s="45">
        <v>302</v>
      </c>
      <c r="CC9" s="45">
        <v>310</v>
      </c>
      <c r="CD9" s="45">
        <v>315</v>
      </c>
    </row>
    <row r="10" spans="1:82">
      <c r="B10" s="39" t="s">
        <v>22</v>
      </c>
      <c r="C10" s="113">
        <v>85</v>
      </c>
      <c r="D10" s="113">
        <v>95</v>
      </c>
      <c r="E10" s="113">
        <v>105</v>
      </c>
      <c r="F10" s="113">
        <v>115</v>
      </c>
      <c r="G10" s="113">
        <v>120</v>
      </c>
      <c r="H10" s="113">
        <v>125</v>
      </c>
      <c r="I10" s="113">
        <v>130</v>
      </c>
      <c r="J10" s="113">
        <v>132</v>
      </c>
      <c r="K10" s="113">
        <v>135</v>
      </c>
      <c r="L10" s="113">
        <v>140</v>
      </c>
      <c r="M10" s="114">
        <v>95</v>
      </c>
      <c r="N10" s="114">
        <v>105</v>
      </c>
      <c r="O10" s="114">
        <v>115</v>
      </c>
      <c r="P10" s="114">
        <v>125</v>
      </c>
      <c r="Q10" s="114">
        <v>130</v>
      </c>
      <c r="R10" s="114">
        <v>135</v>
      </c>
      <c r="S10" s="114">
        <v>140</v>
      </c>
      <c r="T10" s="114">
        <v>142</v>
      </c>
      <c r="U10" s="114">
        <v>150</v>
      </c>
      <c r="V10" s="114">
        <v>155</v>
      </c>
      <c r="W10" s="115">
        <v>117</v>
      </c>
      <c r="X10" s="115">
        <v>127</v>
      </c>
      <c r="Y10" s="115">
        <v>145</v>
      </c>
      <c r="Z10" s="115">
        <v>152</v>
      </c>
      <c r="AA10" s="115">
        <v>160</v>
      </c>
      <c r="AB10" s="115">
        <v>167</v>
      </c>
      <c r="AC10" s="115">
        <v>172</v>
      </c>
      <c r="AD10" s="115">
        <v>175</v>
      </c>
      <c r="AE10" s="115">
        <v>180</v>
      </c>
      <c r="AF10" s="115">
        <v>185</v>
      </c>
      <c r="AG10" s="116">
        <v>135</v>
      </c>
      <c r="AH10" s="116">
        <v>150</v>
      </c>
      <c r="AI10" s="116">
        <v>165</v>
      </c>
      <c r="AJ10" s="116">
        <v>175</v>
      </c>
      <c r="AK10" s="116">
        <v>185</v>
      </c>
      <c r="AL10" s="116">
        <v>192</v>
      </c>
      <c r="AM10" s="116">
        <v>196</v>
      </c>
      <c r="AN10" s="116">
        <v>200</v>
      </c>
      <c r="AO10" s="116">
        <v>202</v>
      </c>
      <c r="AP10" s="116">
        <v>205</v>
      </c>
      <c r="AQ10" s="41">
        <v>135</v>
      </c>
      <c r="AR10" s="41">
        <v>150</v>
      </c>
      <c r="AS10" s="41">
        <v>170</v>
      </c>
      <c r="AT10" s="41">
        <v>190</v>
      </c>
      <c r="AU10" s="41">
        <v>200</v>
      </c>
      <c r="AV10" s="41">
        <v>210</v>
      </c>
      <c r="AW10" s="41">
        <v>220</v>
      </c>
      <c r="AX10" s="41">
        <v>225</v>
      </c>
      <c r="AY10" s="41">
        <v>230</v>
      </c>
      <c r="AZ10" s="41">
        <v>235</v>
      </c>
      <c r="BA10" s="117">
        <v>145</v>
      </c>
      <c r="BB10" s="117">
        <v>175</v>
      </c>
      <c r="BC10" s="117">
        <v>195</v>
      </c>
      <c r="BD10" s="117">
        <v>215</v>
      </c>
      <c r="BE10" s="117">
        <v>225</v>
      </c>
      <c r="BF10" s="117">
        <v>235</v>
      </c>
      <c r="BG10" s="117">
        <v>245</v>
      </c>
      <c r="BH10" s="117">
        <v>255</v>
      </c>
      <c r="BI10" s="117">
        <v>260</v>
      </c>
      <c r="BJ10" s="117">
        <v>265</v>
      </c>
      <c r="BK10" s="113">
        <v>195</v>
      </c>
      <c r="BL10" s="113">
        <v>220</v>
      </c>
      <c r="BM10" s="113">
        <v>245</v>
      </c>
      <c r="BN10" s="113">
        <v>260</v>
      </c>
      <c r="BO10" s="113">
        <v>275</v>
      </c>
      <c r="BP10" s="113">
        <v>290</v>
      </c>
      <c r="BQ10" s="113">
        <v>295</v>
      </c>
      <c r="BR10" s="113">
        <v>305</v>
      </c>
      <c r="BS10" s="113">
        <v>315</v>
      </c>
      <c r="BT10" s="113">
        <v>320</v>
      </c>
      <c r="BU10" s="114">
        <v>220</v>
      </c>
      <c r="BV10" s="114">
        <v>245</v>
      </c>
      <c r="BW10" s="114">
        <v>270</v>
      </c>
      <c r="BX10" s="114">
        <v>290</v>
      </c>
      <c r="BY10" s="114">
        <v>305</v>
      </c>
      <c r="BZ10" s="114">
        <v>320</v>
      </c>
      <c r="CA10" s="114">
        <v>330</v>
      </c>
      <c r="CB10" s="114">
        <v>340</v>
      </c>
      <c r="CC10" s="114">
        <v>350</v>
      </c>
      <c r="CD10" s="114">
        <v>355</v>
      </c>
    </row>
    <row r="11" spans="1:82">
      <c r="B11" s="39" t="s">
        <v>23</v>
      </c>
      <c r="C11" s="113">
        <v>100</v>
      </c>
      <c r="D11" s="113">
        <v>110</v>
      </c>
      <c r="E11" s="113">
        <v>120</v>
      </c>
      <c r="F11" s="113">
        <v>130</v>
      </c>
      <c r="G11" s="113">
        <v>140</v>
      </c>
      <c r="H11" s="113">
        <v>145</v>
      </c>
      <c r="I11" s="113">
        <v>150</v>
      </c>
      <c r="J11" s="113">
        <v>152</v>
      </c>
      <c r="K11" s="113">
        <v>153</v>
      </c>
      <c r="L11" s="113">
        <v>155</v>
      </c>
      <c r="M11" s="114">
        <v>110</v>
      </c>
      <c r="N11" s="114">
        <v>120</v>
      </c>
      <c r="O11" s="114">
        <v>130</v>
      </c>
      <c r="P11" s="114">
        <v>140</v>
      </c>
      <c r="Q11" s="114">
        <v>150</v>
      </c>
      <c r="R11" s="114">
        <v>160</v>
      </c>
      <c r="S11" s="114">
        <v>165</v>
      </c>
      <c r="T11" s="114">
        <v>170</v>
      </c>
      <c r="U11" s="114">
        <v>171</v>
      </c>
      <c r="V11" s="114">
        <v>172</v>
      </c>
      <c r="W11" s="115">
        <v>140</v>
      </c>
      <c r="X11" s="115">
        <v>150</v>
      </c>
      <c r="Y11" s="115">
        <v>165</v>
      </c>
      <c r="Z11" s="115">
        <v>180</v>
      </c>
      <c r="AA11" s="115">
        <v>185</v>
      </c>
      <c r="AB11" s="115">
        <v>190</v>
      </c>
      <c r="AC11" s="115">
        <v>195</v>
      </c>
      <c r="AD11" s="115">
        <v>198</v>
      </c>
      <c r="AE11" s="115">
        <v>200</v>
      </c>
      <c r="AF11" s="115">
        <v>205</v>
      </c>
      <c r="AG11" s="116">
        <v>150</v>
      </c>
      <c r="AH11" s="116">
        <v>170</v>
      </c>
      <c r="AI11" s="116">
        <v>185</v>
      </c>
      <c r="AJ11" s="116">
        <v>200</v>
      </c>
      <c r="AK11" s="116">
        <v>208</v>
      </c>
      <c r="AL11" s="116">
        <v>212</v>
      </c>
      <c r="AM11" s="116">
        <v>216</v>
      </c>
      <c r="AN11" s="116">
        <v>220</v>
      </c>
      <c r="AO11" s="116">
        <v>224</v>
      </c>
      <c r="AP11" s="116">
        <v>228</v>
      </c>
      <c r="AQ11" s="41">
        <v>155</v>
      </c>
      <c r="AR11" s="41">
        <v>170</v>
      </c>
      <c r="AS11" s="41">
        <v>190</v>
      </c>
      <c r="AT11" s="41">
        <v>210</v>
      </c>
      <c r="AU11" s="41">
        <v>220</v>
      </c>
      <c r="AV11" s="41">
        <v>230</v>
      </c>
      <c r="AW11" s="41">
        <v>240</v>
      </c>
      <c r="AX11" s="41">
        <v>250</v>
      </c>
      <c r="AY11" s="41">
        <v>255</v>
      </c>
      <c r="AZ11" s="41">
        <v>260</v>
      </c>
      <c r="BA11" s="117">
        <v>165</v>
      </c>
      <c r="BB11" s="117">
        <v>195</v>
      </c>
      <c r="BC11" s="117">
        <v>215</v>
      </c>
      <c r="BD11" s="117">
        <v>235</v>
      </c>
      <c r="BE11" s="117">
        <v>250</v>
      </c>
      <c r="BF11" s="117">
        <v>265</v>
      </c>
      <c r="BG11" s="117">
        <v>275</v>
      </c>
      <c r="BH11" s="117">
        <v>285</v>
      </c>
      <c r="BI11" s="117">
        <v>290</v>
      </c>
      <c r="BJ11" s="117">
        <v>300</v>
      </c>
      <c r="BK11" s="113">
        <v>225</v>
      </c>
      <c r="BL11" s="113">
        <v>245</v>
      </c>
      <c r="BM11" s="113">
        <v>265</v>
      </c>
      <c r="BN11" s="113">
        <v>285</v>
      </c>
      <c r="BO11" s="113">
        <v>305</v>
      </c>
      <c r="BP11" s="113">
        <v>315</v>
      </c>
      <c r="BQ11" s="113">
        <v>325</v>
      </c>
      <c r="BR11" s="113">
        <v>335</v>
      </c>
      <c r="BS11" s="113">
        <v>345</v>
      </c>
      <c r="BT11" s="113">
        <v>355</v>
      </c>
      <c r="BU11" s="114">
        <v>240</v>
      </c>
      <c r="BV11" s="114">
        <v>270</v>
      </c>
      <c r="BW11" s="118">
        <v>295</v>
      </c>
      <c r="BX11" s="118">
        <v>315</v>
      </c>
      <c r="BY11" s="118">
        <v>335</v>
      </c>
      <c r="BZ11" s="118">
        <v>350</v>
      </c>
      <c r="CA11" s="114">
        <v>360</v>
      </c>
      <c r="CB11" s="114">
        <v>370</v>
      </c>
      <c r="CC11" s="114">
        <v>380</v>
      </c>
      <c r="CD11" s="114">
        <v>395</v>
      </c>
    </row>
    <row r="12" spans="1:82">
      <c r="B12" s="39" t="s">
        <v>24</v>
      </c>
      <c r="C12" s="40">
        <v>9999</v>
      </c>
      <c r="D12" s="40">
        <v>9999</v>
      </c>
      <c r="E12" s="40">
        <v>9999</v>
      </c>
      <c r="F12" s="40">
        <v>9999</v>
      </c>
      <c r="G12" s="40">
        <v>9999</v>
      </c>
      <c r="H12" s="40">
        <v>9999</v>
      </c>
      <c r="I12" s="40">
        <v>9999</v>
      </c>
      <c r="J12" s="40">
        <v>9999</v>
      </c>
      <c r="K12" s="40">
        <v>9999</v>
      </c>
      <c r="L12" s="40">
        <v>9999</v>
      </c>
      <c r="M12" s="40">
        <v>9999</v>
      </c>
      <c r="N12" s="40">
        <v>9999</v>
      </c>
      <c r="O12" s="40">
        <v>9999</v>
      </c>
      <c r="P12" s="40">
        <v>9999</v>
      </c>
      <c r="Q12" s="40">
        <v>9999</v>
      </c>
      <c r="R12" s="40">
        <v>9999</v>
      </c>
      <c r="S12" s="40">
        <v>9999</v>
      </c>
      <c r="T12" s="40">
        <v>9999</v>
      </c>
      <c r="U12" s="40">
        <v>9999</v>
      </c>
      <c r="V12" s="40">
        <v>9999</v>
      </c>
      <c r="W12" s="40">
        <v>9999</v>
      </c>
      <c r="X12" s="40">
        <v>9999</v>
      </c>
      <c r="Y12" s="40">
        <v>9999</v>
      </c>
      <c r="Z12" s="40">
        <v>9999</v>
      </c>
      <c r="AA12" s="40">
        <v>9999</v>
      </c>
      <c r="AB12" s="40">
        <v>9999</v>
      </c>
      <c r="AC12" s="40">
        <v>9999</v>
      </c>
      <c r="AD12" s="40">
        <v>9999</v>
      </c>
      <c r="AE12" s="40">
        <v>9999</v>
      </c>
      <c r="AF12" s="40">
        <v>9999</v>
      </c>
      <c r="AG12" s="40">
        <v>9999</v>
      </c>
      <c r="AH12" s="40">
        <v>9999</v>
      </c>
      <c r="AI12" s="40">
        <v>9999</v>
      </c>
      <c r="AJ12" s="40">
        <v>9999</v>
      </c>
      <c r="AK12" s="40">
        <v>9999</v>
      </c>
      <c r="AL12" s="40">
        <v>9999</v>
      </c>
      <c r="AM12" s="40">
        <v>9999</v>
      </c>
      <c r="AN12" s="40">
        <v>9999</v>
      </c>
      <c r="AO12" s="40">
        <v>9999</v>
      </c>
      <c r="AP12" s="40">
        <v>9999</v>
      </c>
      <c r="AQ12" s="40">
        <v>9999</v>
      </c>
      <c r="AR12" s="40">
        <v>9999</v>
      </c>
      <c r="AS12" s="40">
        <v>9999</v>
      </c>
      <c r="AT12" s="40">
        <v>9999</v>
      </c>
      <c r="AU12" s="40">
        <v>9999</v>
      </c>
      <c r="AV12" s="40">
        <v>9999</v>
      </c>
      <c r="AW12" s="40">
        <v>9999</v>
      </c>
      <c r="AX12" s="40">
        <v>9999</v>
      </c>
      <c r="AY12" s="40">
        <v>9999</v>
      </c>
      <c r="AZ12" s="40">
        <v>9999</v>
      </c>
      <c r="BA12" s="40">
        <v>9999</v>
      </c>
      <c r="BB12" s="40">
        <v>9999</v>
      </c>
      <c r="BC12" s="40">
        <v>9999</v>
      </c>
      <c r="BD12" s="40">
        <v>9999</v>
      </c>
      <c r="BE12" s="40">
        <v>9999</v>
      </c>
      <c r="BF12" s="40">
        <v>9999</v>
      </c>
      <c r="BG12" s="40">
        <v>9999</v>
      </c>
      <c r="BH12" s="40">
        <v>9999</v>
      </c>
      <c r="BI12" s="40">
        <v>9999</v>
      </c>
      <c r="BJ12" s="40">
        <v>9999</v>
      </c>
      <c r="BK12" s="40">
        <v>9999</v>
      </c>
      <c r="BL12" s="40">
        <v>9999</v>
      </c>
      <c r="BM12" s="40">
        <v>9999</v>
      </c>
      <c r="BN12" s="40">
        <v>9999</v>
      </c>
      <c r="BO12" s="40">
        <v>9999</v>
      </c>
      <c r="BP12" s="40">
        <v>9999</v>
      </c>
      <c r="BQ12" s="40">
        <v>9999</v>
      </c>
      <c r="BR12" s="40">
        <v>9999</v>
      </c>
      <c r="BS12" s="40">
        <v>9999</v>
      </c>
      <c r="BT12" s="40">
        <v>9999</v>
      </c>
      <c r="BU12" s="40">
        <v>9999</v>
      </c>
      <c r="BV12" s="40">
        <v>9999</v>
      </c>
      <c r="BW12" s="40">
        <v>9999</v>
      </c>
      <c r="BX12" s="40">
        <v>9999</v>
      </c>
      <c r="BY12" s="40">
        <v>9999</v>
      </c>
      <c r="BZ12" s="40">
        <v>9999</v>
      </c>
      <c r="CA12" s="40">
        <v>9999</v>
      </c>
      <c r="CB12" s="40">
        <v>9999</v>
      </c>
      <c r="CC12" s="40">
        <v>9999</v>
      </c>
      <c r="CD12" s="40">
        <v>9999</v>
      </c>
    </row>
    <row r="13" spans="1:82">
      <c r="BQ13" s="36"/>
      <c r="BR13" s="36"/>
      <c r="BS13" s="36"/>
      <c r="BT13" s="36"/>
      <c r="BU13" s="36"/>
      <c r="BV13" s="36"/>
      <c r="BW13" s="36"/>
      <c r="BX13" s="36"/>
      <c r="BY13" s="36"/>
      <c r="BZ13" s="36"/>
    </row>
    <row r="14" spans="1:82">
      <c r="BG14" s="36"/>
      <c r="BH14" s="36"/>
      <c r="BI14" s="36"/>
      <c r="BJ14" s="36"/>
      <c r="BK14" s="36"/>
      <c r="BL14" s="36"/>
      <c r="BM14" s="36"/>
      <c r="BN14" s="36"/>
    </row>
    <row r="15" spans="1:82">
      <c r="B15" t="s">
        <v>25</v>
      </c>
      <c r="C15" s="48" t="s">
        <v>26</v>
      </c>
      <c r="D15" s="48" t="s">
        <v>26</v>
      </c>
      <c r="E15" s="48" t="s">
        <v>27</v>
      </c>
      <c r="F15" s="48" t="s">
        <v>28</v>
      </c>
      <c r="H15" s="26" t="s">
        <v>25</v>
      </c>
      <c r="I15" s="49" t="s">
        <v>29</v>
      </c>
      <c r="J15" s="49" t="s">
        <v>29</v>
      </c>
      <c r="K15" s="49" t="s">
        <v>27</v>
      </c>
      <c r="L15" s="49" t="s">
        <v>28</v>
      </c>
      <c r="M15" s="26"/>
      <c r="N15" s="26"/>
      <c r="O15" s="26"/>
      <c r="P15" s="26"/>
      <c r="Q15" s="26"/>
      <c r="R15" s="26"/>
      <c r="S15" s="26"/>
      <c r="T15" s="26"/>
      <c r="U15" s="26"/>
    </row>
    <row r="16" spans="1:82">
      <c r="A16" s="35">
        <v>10</v>
      </c>
      <c r="B16" s="27" t="s">
        <v>30</v>
      </c>
      <c r="C16" s="37" t="s">
        <v>44</v>
      </c>
      <c r="D16" s="37" t="s">
        <v>54</v>
      </c>
      <c r="E16" s="37" t="s">
        <v>64</v>
      </c>
      <c r="F16" s="37" t="s">
        <v>74</v>
      </c>
      <c r="G16" s="35">
        <v>10</v>
      </c>
      <c r="H16" s="27" t="s">
        <v>30</v>
      </c>
      <c r="I16" s="50" t="s">
        <v>84</v>
      </c>
      <c r="J16" s="50" t="s">
        <v>94</v>
      </c>
      <c r="K16" s="50" t="s">
        <v>104</v>
      </c>
      <c r="L16" s="50" t="s">
        <v>114</v>
      </c>
      <c r="M16" s="26"/>
      <c r="R16" s="28"/>
      <c r="S16" s="28"/>
      <c r="T16" s="26"/>
      <c r="U16" s="26"/>
      <c r="BV16" s="25"/>
      <c r="BW16" s="25"/>
      <c r="BX16" s="25"/>
      <c r="BY16" s="25"/>
    </row>
    <row r="17" spans="1:72">
      <c r="A17" s="35">
        <v>35.01</v>
      </c>
      <c r="B17" s="27" t="s">
        <v>30</v>
      </c>
      <c r="C17" s="37" t="s">
        <v>44</v>
      </c>
      <c r="D17" s="37" t="s">
        <v>54</v>
      </c>
      <c r="E17" s="37" t="s">
        <v>64</v>
      </c>
      <c r="F17" s="37" t="s">
        <v>74</v>
      </c>
      <c r="G17">
        <v>35.01</v>
      </c>
      <c r="H17" s="27" t="s">
        <v>30</v>
      </c>
      <c r="I17" s="50" t="s">
        <v>84</v>
      </c>
      <c r="J17" s="50" t="s">
        <v>94</v>
      </c>
      <c r="K17" s="50" t="s">
        <v>104</v>
      </c>
      <c r="L17" s="50" t="s">
        <v>114</v>
      </c>
      <c r="M17" s="26"/>
      <c r="N17" s="50"/>
      <c r="O17" s="50"/>
      <c r="R17" s="28"/>
      <c r="S17" s="28"/>
      <c r="T17" s="26"/>
      <c r="U17" s="26"/>
      <c r="BG17" s="48"/>
      <c r="BS17" s="25"/>
      <c r="BT17" s="37"/>
    </row>
    <row r="18" spans="1:72">
      <c r="A18" s="35">
        <v>40.01</v>
      </c>
      <c r="B18" s="27" t="s">
        <v>30</v>
      </c>
      <c r="C18" s="37" t="s">
        <v>44</v>
      </c>
      <c r="D18" s="37" t="s">
        <v>54</v>
      </c>
      <c r="E18" s="37" t="s">
        <v>64</v>
      </c>
      <c r="F18" s="37" t="s">
        <v>74</v>
      </c>
      <c r="G18" s="29">
        <v>40.01</v>
      </c>
      <c r="H18" s="27" t="s">
        <v>30</v>
      </c>
      <c r="I18" s="50" t="s">
        <v>85</v>
      </c>
      <c r="J18" s="50" t="s">
        <v>95</v>
      </c>
      <c r="K18" s="50" t="s">
        <v>104</v>
      </c>
      <c r="L18" s="50" t="s">
        <v>114</v>
      </c>
      <c r="M18" s="26"/>
      <c r="R18" s="28"/>
      <c r="S18" s="28"/>
      <c r="T18" s="26"/>
      <c r="U18" s="26"/>
      <c r="AV18" s="25"/>
      <c r="AW18" s="25"/>
      <c r="BS18" s="25"/>
      <c r="BT18" s="37"/>
    </row>
    <row r="19" spans="1:72">
      <c r="A19" s="35">
        <v>45.01</v>
      </c>
      <c r="B19" s="27" t="s">
        <v>30</v>
      </c>
      <c r="C19" s="37" t="s">
        <v>44</v>
      </c>
      <c r="D19" s="37" t="s">
        <v>54</v>
      </c>
      <c r="E19" s="37" t="s">
        <v>64</v>
      </c>
      <c r="F19" s="37" t="s">
        <v>74</v>
      </c>
      <c r="G19">
        <v>45.01</v>
      </c>
      <c r="H19" s="27" t="s">
        <v>30</v>
      </c>
      <c r="I19" s="50" t="s">
        <v>86</v>
      </c>
      <c r="J19" s="50" t="s">
        <v>103</v>
      </c>
      <c r="K19" s="50" t="s">
        <v>105</v>
      </c>
      <c r="L19" s="50" t="s">
        <v>115</v>
      </c>
      <c r="M19" s="26"/>
      <c r="R19" s="28"/>
      <c r="S19" s="28"/>
      <c r="T19" s="26"/>
      <c r="U19" s="26"/>
      <c r="AV19" s="25"/>
      <c r="AW19" s="25"/>
      <c r="BG19" s="48"/>
      <c r="BS19" s="25"/>
      <c r="BT19" s="37"/>
    </row>
    <row r="20" spans="1:72">
      <c r="A20" s="35">
        <v>49.01</v>
      </c>
      <c r="B20" s="27" t="s">
        <v>30</v>
      </c>
      <c r="C20" s="37" t="s">
        <v>45</v>
      </c>
      <c r="D20" s="37" t="s">
        <v>55</v>
      </c>
      <c r="E20" s="37" t="s">
        <v>64</v>
      </c>
      <c r="F20" s="37" t="s">
        <v>74</v>
      </c>
      <c r="G20">
        <v>49.01</v>
      </c>
      <c r="H20" s="27" t="s">
        <v>30</v>
      </c>
      <c r="I20" s="50" t="s">
        <v>96</v>
      </c>
      <c r="J20" s="50" t="s">
        <v>87</v>
      </c>
      <c r="K20" s="50" t="s">
        <v>106</v>
      </c>
      <c r="L20" s="50" t="s">
        <v>116</v>
      </c>
      <c r="M20" s="26"/>
      <c r="R20" s="28"/>
      <c r="S20" s="28"/>
      <c r="T20" s="26"/>
      <c r="U20" s="26"/>
      <c r="BS20" s="25"/>
      <c r="BT20" s="37"/>
    </row>
    <row r="21" spans="1:72">
      <c r="A21" s="35">
        <v>55.01</v>
      </c>
      <c r="B21" s="27" t="s">
        <v>30</v>
      </c>
      <c r="C21" s="37" t="s">
        <v>46</v>
      </c>
      <c r="D21" s="37" t="s">
        <v>56</v>
      </c>
      <c r="E21" s="37" t="s">
        <v>65</v>
      </c>
      <c r="F21" s="37" t="s">
        <v>75</v>
      </c>
      <c r="G21">
        <v>55.01</v>
      </c>
      <c r="H21" s="27" t="s">
        <v>30</v>
      </c>
      <c r="I21" s="50" t="s">
        <v>88</v>
      </c>
      <c r="J21" s="50" t="s">
        <v>97</v>
      </c>
      <c r="K21" s="50" t="s">
        <v>107</v>
      </c>
      <c r="L21" s="50" t="s">
        <v>117</v>
      </c>
      <c r="M21" s="26"/>
      <c r="R21" s="28"/>
      <c r="S21" s="28"/>
      <c r="T21" s="26"/>
      <c r="U21" s="26"/>
      <c r="BG21" s="48"/>
      <c r="BT21" s="37"/>
    </row>
    <row r="22" spans="1:72">
      <c r="A22" s="35">
        <v>61.01</v>
      </c>
      <c r="B22" s="27" t="s">
        <v>30</v>
      </c>
      <c r="C22" s="37" t="s">
        <v>47</v>
      </c>
      <c r="D22" s="37" t="s">
        <v>57</v>
      </c>
      <c r="E22" s="37" t="s">
        <v>66</v>
      </c>
      <c r="F22" s="37" t="s">
        <v>76</v>
      </c>
      <c r="G22">
        <v>59.01</v>
      </c>
      <c r="H22" s="27" t="s">
        <v>30</v>
      </c>
      <c r="I22" s="50" t="s">
        <v>89</v>
      </c>
      <c r="J22" s="50" t="s">
        <v>98</v>
      </c>
      <c r="K22" s="50" t="s">
        <v>108</v>
      </c>
      <c r="L22" s="50" t="s">
        <v>118</v>
      </c>
      <c r="M22" s="26"/>
      <c r="R22" s="28"/>
      <c r="S22" s="28"/>
      <c r="T22" s="26"/>
      <c r="U22" s="26"/>
    </row>
    <row r="23" spans="1:72">
      <c r="A23" s="35">
        <v>67.010000000000005</v>
      </c>
      <c r="B23" s="27" t="s">
        <v>30</v>
      </c>
      <c r="C23" s="37" t="s">
        <v>48</v>
      </c>
      <c r="D23" s="37" t="s">
        <v>58</v>
      </c>
      <c r="E23" s="37" t="s">
        <v>67</v>
      </c>
      <c r="F23" s="37" t="s">
        <v>77</v>
      </c>
      <c r="G23">
        <v>64.010000000000005</v>
      </c>
      <c r="H23" s="27" t="s">
        <v>30</v>
      </c>
      <c r="I23" s="50" t="s">
        <v>90</v>
      </c>
      <c r="J23" s="50" t="s">
        <v>99</v>
      </c>
      <c r="K23" s="50" t="s">
        <v>109</v>
      </c>
      <c r="L23" s="50" t="s">
        <v>119</v>
      </c>
      <c r="M23" s="26"/>
      <c r="R23" s="28"/>
      <c r="S23" s="28"/>
      <c r="T23" s="26"/>
      <c r="U23" s="26"/>
      <c r="BG23" s="48"/>
    </row>
    <row r="24" spans="1:72">
      <c r="A24" s="35">
        <v>73.010000000000005</v>
      </c>
      <c r="B24" s="27" t="s">
        <v>30</v>
      </c>
      <c r="C24" s="37" t="s">
        <v>49</v>
      </c>
      <c r="D24" s="37" t="s">
        <v>59</v>
      </c>
      <c r="E24" s="37" t="s">
        <v>68</v>
      </c>
      <c r="F24" s="37" t="s">
        <v>78</v>
      </c>
      <c r="G24">
        <v>71.010000000000005</v>
      </c>
      <c r="H24" s="27" t="s">
        <v>30</v>
      </c>
      <c r="I24" s="50" t="s">
        <v>91</v>
      </c>
      <c r="J24" s="50" t="s">
        <v>100</v>
      </c>
      <c r="K24" s="50" t="s">
        <v>110</v>
      </c>
      <c r="L24" s="50" t="s">
        <v>120</v>
      </c>
      <c r="M24" s="26"/>
      <c r="R24" s="28"/>
      <c r="S24" s="28"/>
      <c r="T24" s="26"/>
      <c r="U24" s="26"/>
    </row>
    <row r="25" spans="1:72">
      <c r="A25" s="35">
        <v>81.010000000000005</v>
      </c>
      <c r="B25" s="27" t="s">
        <v>30</v>
      </c>
      <c r="C25" s="37" t="s">
        <v>50</v>
      </c>
      <c r="D25" s="37" t="s">
        <v>60</v>
      </c>
      <c r="E25" s="37" t="s">
        <v>69</v>
      </c>
      <c r="F25" s="37" t="s">
        <v>79</v>
      </c>
      <c r="G25">
        <v>76.010000000000005</v>
      </c>
      <c r="H25" s="27" t="s">
        <v>30</v>
      </c>
      <c r="I25" s="50" t="s">
        <v>92</v>
      </c>
      <c r="J25" s="50" t="s">
        <v>101</v>
      </c>
      <c r="K25" s="50" t="s">
        <v>111</v>
      </c>
      <c r="L25" s="50" t="s">
        <v>121</v>
      </c>
      <c r="M25" s="26"/>
      <c r="R25" s="28"/>
      <c r="S25" s="28"/>
      <c r="T25" s="26"/>
      <c r="U25" s="26"/>
      <c r="BG25" s="48"/>
    </row>
    <row r="26" spans="1:72">
      <c r="A26" s="35">
        <v>89.01</v>
      </c>
      <c r="B26" s="27" t="s">
        <v>30</v>
      </c>
      <c r="C26" s="37" t="s">
        <v>51</v>
      </c>
      <c r="D26" s="37" t="s">
        <v>61</v>
      </c>
      <c r="E26" s="37" t="s">
        <v>70</v>
      </c>
      <c r="F26" s="37" t="s">
        <v>80</v>
      </c>
      <c r="G26">
        <v>81.010000000000005</v>
      </c>
      <c r="H26" s="27" t="s">
        <v>30</v>
      </c>
      <c r="I26" s="50" t="s">
        <v>93</v>
      </c>
      <c r="J26" s="50" t="s">
        <v>102</v>
      </c>
      <c r="K26" s="50" t="s">
        <v>112</v>
      </c>
      <c r="L26" s="50" t="s">
        <v>122</v>
      </c>
      <c r="M26" s="26"/>
      <c r="R26" s="28"/>
      <c r="S26" s="28"/>
      <c r="T26" s="26"/>
      <c r="U26" s="26"/>
    </row>
    <row r="27" spans="1:72">
      <c r="A27" s="35">
        <v>96.01</v>
      </c>
      <c r="B27" s="27" t="s">
        <v>30</v>
      </c>
      <c r="C27" s="37" t="s">
        <v>52</v>
      </c>
      <c r="D27" s="37" t="s">
        <v>62</v>
      </c>
      <c r="E27" s="37" t="s">
        <v>71</v>
      </c>
      <c r="F27" s="37" t="s">
        <v>81</v>
      </c>
      <c r="G27">
        <v>87.01</v>
      </c>
      <c r="H27" s="27" t="s">
        <v>30</v>
      </c>
      <c r="I27" s="50" t="s">
        <v>93</v>
      </c>
      <c r="J27" s="50" t="s">
        <v>102</v>
      </c>
      <c r="K27" s="50" t="s">
        <v>113</v>
      </c>
      <c r="L27" s="50" t="s">
        <v>123</v>
      </c>
      <c r="M27" s="26"/>
      <c r="R27" s="28"/>
      <c r="S27" s="28"/>
      <c r="T27" s="26"/>
      <c r="U27" s="26"/>
      <c r="BG27" s="48"/>
    </row>
    <row r="28" spans="1:72">
      <c r="A28" s="35">
        <v>102.01</v>
      </c>
      <c r="B28" s="27" t="s">
        <v>30</v>
      </c>
      <c r="C28" s="37" t="s">
        <v>53</v>
      </c>
      <c r="D28" s="37" t="s">
        <v>63</v>
      </c>
      <c r="E28" s="37" t="s">
        <v>72</v>
      </c>
      <c r="F28" s="37" t="s">
        <v>82</v>
      </c>
      <c r="H28" s="27"/>
      <c r="I28" s="28"/>
      <c r="J28" s="28"/>
      <c r="K28" s="28"/>
      <c r="L28" s="28"/>
      <c r="M28" s="26"/>
      <c r="P28" s="28"/>
      <c r="Q28" s="28"/>
      <c r="R28" s="28"/>
      <c r="S28" s="28"/>
      <c r="T28" s="26"/>
      <c r="U28" s="26"/>
    </row>
    <row r="29" spans="1:72">
      <c r="A29" s="35">
        <v>109.1</v>
      </c>
      <c r="B29" s="27" t="s">
        <v>30</v>
      </c>
      <c r="C29" s="37" t="s">
        <v>53</v>
      </c>
      <c r="D29" s="37" t="s">
        <v>63</v>
      </c>
      <c r="E29" s="37" t="s">
        <v>73</v>
      </c>
      <c r="F29" s="37" t="s">
        <v>83</v>
      </c>
      <c r="H29" s="27"/>
      <c r="I29" s="28"/>
      <c r="J29" s="28"/>
      <c r="K29" s="28"/>
      <c r="L29" s="28"/>
      <c r="M29" s="26"/>
      <c r="P29" s="28"/>
      <c r="Q29" s="28"/>
      <c r="R29" s="28"/>
      <c r="S29" s="28"/>
      <c r="T29" s="26"/>
      <c r="U29" s="26"/>
      <c r="AV29" s="25"/>
      <c r="AW29" s="25"/>
      <c r="BG29" s="48"/>
    </row>
    <row r="30" spans="1:72">
      <c r="M30" s="26"/>
      <c r="O30" s="28"/>
      <c r="P30" s="28"/>
      <c r="Q30" s="28"/>
      <c r="R30" s="28"/>
      <c r="S30" s="28"/>
      <c r="T30" s="26"/>
      <c r="U30" s="26"/>
    </row>
    <row r="31" spans="1:72">
      <c r="S31" s="28"/>
      <c r="T31" s="26"/>
      <c r="U31" s="26"/>
      <c r="BG31" s="48"/>
    </row>
    <row r="32" spans="1:72">
      <c r="B32" t="s">
        <v>130</v>
      </c>
      <c r="C32" s="37" t="s">
        <v>132</v>
      </c>
      <c r="D32" s="37" t="s">
        <v>131</v>
      </c>
      <c r="S32" s="28"/>
      <c r="T32" s="26"/>
      <c r="U32" s="26"/>
    </row>
    <row r="33" spans="2:59">
      <c r="B33" t="s">
        <v>133</v>
      </c>
      <c r="C33" s="37"/>
      <c r="D33">
        <v>2015</v>
      </c>
      <c r="S33" s="28"/>
      <c r="T33" s="26"/>
      <c r="U33" s="26"/>
    </row>
    <row r="34" spans="2:59">
      <c r="B34" t="s">
        <v>125</v>
      </c>
      <c r="C34">
        <v>2012</v>
      </c>
      <c r="D34">
        <v>2014</v>
      </c>
      <c r="S34" s="28"/>
      <c r="T34" s="26"/>
      <c r="U34" s="26"/>
      <c r="BG34" s="48"/>
    </row>
    <row r="35" spans="2:59">
      <c r="B35" t="s">
        <v>126</v>
      </c>
      <c r="C35">
        <v>2010</v>
      </c>
      <c r="D35">
        <v>2011</v>
      </c>
    </row>
    <row r="36" spans="2:59">
      <c r="B36" t="s">
        <v>127</v>
      </c>
      <c r="C36">
        <v>2008</v>
      </c>
      <c r="D36">
        <v>2009</v>
      </c>
      <c r="BG36" s="48"/>
    </row>
    <row r="37" spans="2:59">
      <c r="B37" t="s">
        <v>128</v>
      </c>
      <c r="C37">
        <v>2005</v>
      </c>
      <c r="D37">
        <v>2007</v>
      </c>
    </row>
    <row r="38" spans="2:59">
      <c r="B38" t="s">
        <v>129</v>
      </c>
      <c r="C38">
        <v>2004</v>
      </c>
      <c r="BG38" s="48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11</vt:i4>
      </vt:variant>
    </vt:vector>
  </HeadingPairs>
  <TitlesOfParts>
    <vt:vector size="13" baseType="lpstr">
      <vt:lpstr>EQUIPES</vt:lpstr>
      <vt:lpstr>Minimas</vt:lpstr>
      <vt:lpstr>SENIORS_Min</vt:lpstr>
      <vt:lpstr>U10_Max</vt:lpstr>
      <vt:lpstr>U13_Max</vt:lpstr>
      <vt:lpstr>U13_Min</vt:lpstr>
      <vt:lpstr>U15_Max</vt:lpstr>
      <vt:lpstr>U15_Min</vt:lpstr>
      <vt:lpstr>U17_Max</vt:lpstr>
      <vt:lpstr>U17_Min</vt:lpstr>
      <vt:lpstr>U20_Max</vt:lpstr>
      <vt:lpstr>U20_Min</vt:lpstr>
      <vt:lpstr>EQUIPES!Zone_d_impression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MENONI Daniel</dc:creator>
  <cp:lastModifiedBy>MENONI Daniel</cp:lastModifiedBy>
  <cp:lastPrinted>2024-11-14T11:27:26Z</cp:lastPrinted>
  <dcterms:created xsi:type="dcterms:W3CDTF">2004-10-09T07:29:01Z</dcterms:created>
  <dcterms:modified xsi:type="dcterms:W3CDTF">2025-01-08T07:06:04Z</dcterms:modified>
</cp:coreProperties>
</file>